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workbookAlgorithmName="SHA-512" workbookHashValue="KZHN3owcJYRA2xa0cEhd7bEjyijGc/wTKvzARp+cWiMN3nxqbQX6t2Iql8z5NZ7EuwcQDsF8xj/wQrJYakQPpA==" workbookSaltValue="XesHedfC2ydXHDgn9KfTcA==" workbookSpinCount="100000" lockStructure="1"/>
  <bookViews>
    <workbookView xWindow="4185" yWindow="3165" windowWidth="17310" windowHeight="9810" tabRatio="674" activeTab="3"/>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5" i="8" l="1"/>
  <c r="N35" i="10" l="1"/>
  <c r="J35" i="10"/>
  <c r="N117" i="1"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20" i="2"/>
  <c r="K119" i="2"/>
  <c r="K114" i="2"/>
  <c r="K107" i="2"/>
  <c r="K101" i="2"/>
  <c r="K94" i="2"/>
  <c r="K81" i="2"/>
  <c r="K71" i="2"/>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M92" i="1"/>
  <c r="AA8" i="33"/>
  <c r="AA14" i="33"/>
  <c r="B67" i="35"/>
  <c r="F67" i="35"/>
  <c r="I67" i="35"/>
  <c r="K92" i="2" l="1"/>
  <c r="K91" i="2"/>
  <c r="K136" i="2"/>
  <c r="K125" i="2"/>
  <c r="L91" i="2"/>
  <c r="L92" i="2"/>
  <c r="L106" i="2"/>
  <c r="L127" i="2" s="1"/>
  <c r="L93" i="2"/>
  <c r="L125" i="2" s="1"/>
  <c r="L39" i="2"/>
  <c r="L21" i="2"/>
  <c r="K106" i="2"/>
  <c r="K93" i="2"/>
  <c r="K39" i="2"/>
  <c r="K126" i="2" s="1"/>
  <c r="K21" i="2"/>
  <c r="N42" i="1"/>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L120" i="2" l="1"/>
  <c r="L119" i="2"/>
  <c r="L126" i="2"/>
  <c r="L128" i="2"/>
  <c r="L136" i="2"/>
  <c r="L137" i="2"/>
  <c r="K128" i="2"/>
  <c r="K127" i="2"/>
  <c r="K137" i="2"/>
  <c r="K70" i="2"/>
  <c r="K69" i="2"/>
  <c r="K58" i="2"/>
  <c r="K57"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M45" i="1" s="1"/>
  <c r="L45" i="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82" i="38"/>
  <c r="D83" i="38"/>
  <c r="D85" i="38"/>
  <c r="D80" i="38"/>
  <c r="D92" i="38"/>
  <c r="F200" i="38"/>
  <c r="D81" i="38"/>
  <c r="D87" i="38"/>
  <c r="D74" i="38"/>
  <c r="D84" i="38"/>
  <c r="D71" i="38"/>
  <c r="D100" i="38"/>
  <c r="D96" i="38"/>
  <c r="D76" i="38"/>
  <c r="D90" i="38"/>
  <c r="D70" i="38"/>
  <c r="D88" i="38"/>
  <c r="D98" i="38"/>
  <c r="D75" i="38"/>
  <c r="D99" i="38"/>
  <c r="D93" i="38"/>
  <c r="D91" i="38"/>
  <c r="D77" i="38"/>
  <c r="D72" i="38"/>
  <c r="D78" i="38"/>
  <c r="D79" i="38"/>
  <c r="D95" i="38"/>
  <c r="D97" i="38"/>
  <c r="D89" i="38"/>
  <c r="D73" i="38"/>
  <c r="D69" i="38"/>
  <c r="D94" i="38"/>
  <c r="D86"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G243" i="35" l="1"/>
  <c r="G96" i="35"/>
  <c r="G182" i="35"/>
  <c r="G210" i="35"/>
  <c r="G282" i="35"/>
  <c r="G59" i="35"/>
  <c r="H9" i="37"/>
  <c r="G338" i="35"/>
  <c r="G206" i="35"/>
  <c r="G13" i="35"/>
  <c r="G152" i="35"/>
  <c r="G271" i="35"/>
  <c r="G55" i="35"/>
  <c r="G188" i="35"/>
  <c r="H5" i="37"/>
  <c r="G22" i="35"/>
  <c r="G363" i="35"/>
  <c r="G356" i="35"/>
  <c r="G310" i="35"/>
  <c r="G180" i="35"/>
  <c r="H4" i="37"/>
  <c r="G125" i="35"/>
  <c r="G245" i="35"/>
  <c r="G27" i="35"/>
  <c r="G150" i="35"/>
  <c r="G49" i="35"/>
  <c r="G228" i="35"/>
  <c r="G239" i="35"/>
  <c r="G17" i="35"/>
  <c r="G360" i="35"/>
  <c r="G345" i="35"/>
  <c r="G349" i="35"/>
  <c r="G177" i="35"/>
  <c r="G306" i="35"/>
  <c r="G121" i="35"/>
  <c r="G241" i="35"/>
  <c r="G23" i="35"/>
  <c r="G146" i="35"/>
  <c r="G353" i="35"/>
  <c r="G340" i="35"/>
  <c r="G92" i="35"/>
  <c r="G361" i="35"/>
  <c r="G355" i="35"/>
  <c r="G341" i="35"/>
  <c r="G149" i="35"/>
  <c r="G279" i="35"/>
  <c r="G93" i="35"/>
  <c r="G198" i="35"/>
  <c r="H14" i="37"/>
  <c r="G119" i="35"/>
  <c r="H11" i="37"/>
  <c r="G358" i="35"/>
  <c r="G352" i="35"/>
  <c r="G337" i="35"/>
  <c r="G145" i="35"/>
  <c r="G276" i="35"/>
  <c r="G89" i="35"/>
  <c r="G193" i="35"/>
  <c r="H10" i="37"/>
  <c r="G115" i="35"/>
  <c r="G45" i="35"/>
  <c r="H7" i="37"/>
  <c r="G225" i="35"/>
  <c r="G18" i="35"/>
  <c r="G343" i="35"/>
  <c r="G156" i="35"/>
  <c r="G192" i="35"/>
  <c r="G339" i="35"/>
  <c r="G309" i="35"/>
  <c r="G114" i="35"/>
  <c r="G252" i="35"/>
  <c r="G56" i="35"/>
  <c r="G166" i="35"/>
  <c r="G292" i="35"/>
  <c r="G87" i="35"/>
  <c r="G186" i="35"/>
  <c r="G335" i="35"/>
  <c r="G110" i="35"/>
  <c r="G289" i="35"/>
  <c r="G323" i="35"/>
  <c r="G280" i="35"/>
  <c r="G82" i="35"/>
  <c r="G217" i="35"/>
  <c r="G24" i="35"/>
  <c r="G128" i="35"/>
  <c r="G260" i="35"/>
  <c r="G54" i="35"/>
  <c r="G307" i="35"/>
  <c r="G246" i="35"/>
  <c r="G52" i="35"/>
  <c r="G160" i="35"/>
  <c r="G83" i="35"/>
  <c r="G319" i="35"/>
  <c r="G277" i="35"/>
  <c r="G78" i="35"/>
  <c r="G213" i="35"/>
  <c r="G20" i="35"/>
  <c r="G124" i="35"/>
  <c r="G256" i="35"/>
  <c r="C62" i="31"/>
  <c r="D62" i="31"/>
  <c r="L21" i="1"/>
  <c r="M21" i="1" s="1"/>
  <c r="M28"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33" i="38"/>
  <c r="F261" i="38"/>
  <c r="D55" i="38"/>
  <c r="E307" i="38"/>
  <c r="E342" i="38"/>
  <c r="E339" i="38"/>
  <c r="E306" i="38"/>
  <c r="E331" i="38"/>
  <c r="F280" i="38"/>
  <c r="F209" i="38"/>
  <c r="E392" i="38"/>
  <c r="D113" i="38"/>
  <c r="E395" i="38"/>
  <c r="F234" i="38"/>
  <c r="E360" i="38"/>
  <c r="D125" i="38"/>
  <c r="E317" i="38"/>
  <c r="F233" i="38"/>
  <c r="E337" i="38"/>
  <c r="E319" i="38"/>
  <c r="E375" i="38"/>
  <c r="E400" i="38"/>
  <c r="E326" i="38"/>
  <c r="D37" i="38"/>
  <c r="D120" i="38"/>
  <c r="D104" i="38"/>
  <c r="F205" i="38"/>
  <c r="F236" i="38"/>
  <c r="F227" i="38"/>
  <c r="D106" i="38"/>
  <c r="E378" i="38"/>
  <c r="D29" i="38"/>
  <c r="D46" i="38"/>
  <c r="D123" i="38"/>
  <c r="D61" i="38"/>
  <c r="F220" i="38"/>
  <c r="F295" i="38"/>
  <c r="E372" i="38"/>
  <c r="D136" i="38"/>
  <c r="F217" i="38"/>
  <c r="F237" i="38"/>
  <c r="F294" i="38"/>
  <c r="F277" i="38"/>
  <c r="D112" i="38"/>
  <c r="D130" i="38"/>
  <c r="E357" i="38"/>
  <c r="E390" i="38"/>
  <c r="D107" i="38"/>
  <c r="F215" i="38"/>
  <c r="F206" i="38"/>
  <c r="E396" i="38"/>
  <c r="F287" i="38"/>
  <c r="F232" i="38"/>
  <c r="F222" i="38"/>
  <c r="F272" i="38"/>
  <c r="F291" i="38"/>
  <c r="D48" i="38"/>
  <c r="E315" i="38"/>
  <c r="E361" i="38"/>
  <c r="E380" i="38"/>
  <c r="F259" i="38"/>
  <c r="E397" i="38"/>
  <c r="F288" i="38"/>
  <c r="F293" i="38"/>
  <c r="D124" i="38"/>
  <c r="E336" i="38"/>
  <c r="F286" i="38"/>
  <c r="F245" i="38"/>
  <c r="D127" i="38"/>
  <c r="F279" i="38"/>
  <c r="F208" i="38"/>
  <c r="E353" i="38"/>
  <c r="F201" i="38"/>
  <c r="D65" i="38"/>
  <c r="D121" i="38"/>
  <c r="D103" i="38"/>
  <c r="D57" i="38"/>
  <c r="D101" i="38"/>
  <c r="F241" i="38"/>
  <c r="E328" i="38"/>
  <c r="D129" i="38"/>
  <c r="D133" i="38"/>
  <c r="D105" i="38"/>
  <c r="E384" i="38"/>
  <c r="F256" i="38"/>
  <c r="D63" i="38"/>
  <c r="D47" i="38"/>
  <c r="E351" i="38"/>
  <c r="F210" i="38"/>
  <c r="F253" i="38"/>
  <c r="E354" i="38"/>
  <c r="F214" i="38"/>
  <c r="F226" i="38"/>
  <c r="F216" i="38"/>
  <c r="D58" i="38"/>
  <c r="E300" i="38"/>
  <c r="F260" i="38"/>
  <c r="F204" i="38"/>
  <c r="E340" i="38"/>
  <c r="D108" i="38"/>
  <c r="F240" i="38"/>
  <c r="E332" i="38"/>
  <c r="D51" i="38"/>
  <c r="D23" i="38"/>
  <c r="F281" i="38"/>
  <c r="D116" i="38"/>
  <c r="E301" i="38"/>
  <c r="F271" i="38"/>
  <c r="D50" i="38"/>
  <c r="F228" i="38"/>
  <c r="F225" i="38"/>
  <c r="F250" i="38"/>
  <c r="E383" i="38"/>
  <c r="F292" i="38"/>
  <c r="F289" i="38"/>
  <c r="D41" i="38"/>
  <c r="F207" i="38"/>
  <c r="E370" i="38"/>
  <c r="D118" i="38"/>
  <c r="D28" i="38"/>
  <c r="D56" i="38"/>
  <c r="F239" i="38"/>
  <c r="E312" i="38"/>
  <c r="E325" i="38"/>
  <c r="E311" i="38"/>
  <c r="F264" i="38"/>
  <c r="E350" i="38"/>
  <c r="D34" i="38"/>
  <c r="E387" i="38"/>
  <c r="E305" i="38"/>
  <c r="D33" i="38"/>
  <c r="E363" i="38"/>
  <c r="E321" i="38"/>
  <c r="D102" i="38"/>
  <c r="E344" i="38"/>
  <c r="D43" i="38"/>
  <c r="E323" i="38"/>
  <c r="E364" i="38"/>
  <c r="F257" i="38"/>
  <c r="E371" i="38"/>
  <c r="F244" i="38"/>
  <c r="F258" i="38"/>
  <c r="F285" i="38"/>
  <c r="F247" i="38"/>
  <c r="F252" i="38"/>
  <c r="D31" i="38"/>
  <c r="D137" i="38"/>
  <c r="E309" i="38"/>
  <c r="E399" i="38"/>
  <c r="E377" i="38"/>
  <c r="D36" i="38"/>
  <c r="F270" i="38"/>
  <c r="D54" i="38"/>
  <c r="D49" i="38"/>
  <c r="E348" i="38"/>
  <c r="F282" i="38"/>
  <c r="E330" i="38"/>
  <c r="D119" i="38"/>
  <c r="D30" i="38"/>
  <c r="E355" i="38"/>
  <c r="D22" i="38"/>
  <c r="F274" i="38"/>
  <c r="E303" i="38"/>
  <c r="E334" i="38"/>
  <c r="E338" i="38"/>
  <c r="D21" i="38"/>
  <c r="E352" i="38"/>
  <c r="F249" i="38"/>
  <c r="D66" i="38"/>
  <c r="E329" i="38"/>
  <c r="D126" i="38"/>
  <c r="D60" i="38"/>
  <c r="D111" i="38"/>
  <c r="D62" i="38"/>
  <c r="E365" i="38"/>
  <c r="D138" i="38"/>
  <c r="D39" i="38"/>
  <c r="D25" i="38"/>
  <c r="D64" i="38"/>
  <c r="D122" i="38"/>
  <c r="E341" i="38"/>
  <c r="F230" i="38"/>
  <c r="E335" i="38"/>
  <c r="D40" i="38"/>
  <c r="E343" i="38"/>
  <c r="E373" i="38"/>
  <c r="E320" i="38"/>
  <c r="D24" i="38"/>
  <c r="D132" i="38"/>
  <c r="E393" i="38"/>
  <c r="F213" i="38"/>
  <c r="F278" i="38"/>
  <c r="D67" i="38"/>
  <c r="F243" i="38"/>
  <c r="D38" i="38"/>
  <c r="F296" i="38"/>
  <c r="F275" i="38"/>
  <c r="F297" i="38"/>
  <c r="E386" i="38"/>
  <c r="D52" i="38"/>
  <c r="E366" i="38"/>
  <c r="F224" i="38"/>
  <c r="F298" i="38"/>
  <c r="F242" i="38"/>
  <c r="F218" i="38"/>
  <c r="E318" i="38"/>
  <c r="E356" i="38"/>
  <c r="F246" i="38"/>
  <c r="E385" i="38"/>
  <c r="E308" i="38"/>
  <c r="E362" i="38"/>
  <c r="F238" i="38"/>
  <c r="F268" i="38"/>
  <c r="D131" i="38"/>
  <c r="D26" i="38"/>
  <c r="E302" i="38"/>
  <c r="F212" i="38"/>
  <c r="E391" i="38"/>
  <c r="E381" i="38"/>
  <c r="E368" i="38"/>
  <c r="E304" i="38"/>
  <c r="D27" i="38"/>
  <c r="E359" i="38"/>
  <c r="D42" i="38"/>
  <c r="F269" i="38"/>
  <c r="F235" i="38"/>
  <c r="F284" i="38"/>
  <c r="E374" i="38"/>
  <c r="E347" i="38"/>
  <c r="D44" i="38"/>
  <c r="F223" i="38"/>
  <c r="F300" i="38"/>
  <c r="E327" i="38"/>
  <c r="F266" i="38"/>
  <c r="D32" i="38"/>
  <c r="D135" i="38"/>
  <c r="F221" i="38"/>
  <c r="E349" i="38"/>
  <c r="D128" i="38"/>
  <c r="F211" i="38"/>
  <c r="E398" i="38"/>
  <c r="D115" i="38"/>
  <c r="E314" i="38"/>
  <c r="F263" i="38"/>
  <c r="E313" i="38"/>
  <c r="D117" i="38"/>
  <c r="E316" i="38"/>
  <c r="E346" i="38"/>
  <c r="F267" i="38"/>
  <c r="D45" i="38"/>
  <c r="E376" i="38"/>
  <c r="E345" i="38"/>
  <c r="E367" i="38"/>
  <c r="E358" i="38"/>
  <c r="E394" i="38"/>
  <c r="D35" i="38"/>
  <c r="F251" i="38"/>
  <c r="F273" i="38"/>
  <c r="F254" i="38"/>
  <c r="F255" i="38"/>
  <c r="F276" i="38"/>
  <c r="D110" i="38"/>
  <c r="F229" i="38"/>
  <c r="F265" i="38"/>
  <c r="D53" i="38"/>
  <c r="F283" i="38"/>
  <c r="D68" i="38"/>
  <c r="E382" i="38"/>
  <c r="E369" i="38"/>
  <c r="D114" i="38"/>
  <c r="E322" i="38"/>
  <c r="F262" i="38"/>
  <c r="E324" i="38"/>
  <c r="F248" i="38"/>
  <c r="D134" i="38"/>
  <c r="F231" i="38"/>
  <c r="E389" i="38"/>
  <c r="E379" i="38"/>
  <c r="D59" i="38"/>
  <c r="F299" i="38"/>
  <c r="F290" i="38"/>
  <c r="F219" i="38"/>
  <c r="E310" i="38"/>
  <c r="E388" i="38"/>
  <c r="D109" i="38"/>
  <c r="F203" i="38"/>
  <c r="F202" i="38"/>
  <c r="L86"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J7" i="35"/>
  <c r="M274" i="35"/>
  <c r="M328" i="35"/>
  <c r="D190" i="38"/>
  <c r="N16" i="37"/>
  <c r="D226" i="38"/>
  <c r="O17" i="37"/>
  <c r="N328" i="35"/>
  <c r="H418" i="38"/>
  <c r="D216" i="38"/>
  <c r="M10" i="35"/>
  <c r="M358" i="35"/>
  <c r="M293" i="35"/>
  <c r="N19" i="35"/>
  <c r="M168" i="35"/>
  <c r="N123" i="35"/>
  <c r="M378" i="35"/>
  <c r="N306" i="35"/>
  <c r="N86" i="35"/>
  <c r="N71" i="35"/>
  <c r="J339" i="35"/>
  <c r="D320" i="38"/>
  <c r="M76" i="35"/>
  <c r="E72" i="38"/>
  <c r="N27" i="35"/>
  <c r="K61" i="35"/>
  <c r="E235" i="38"/>
  <c r="E219" i="38"/>
  <c r="F158" i="38"/>
  <c r="M425" i="38"/>
  <c r="E285" i="38"/>
  <c r="Q13" i="37"/>
  <c r="M348" i="35"/>
  <c r="E225" i="38"/>
  <c r="N278" i="35"/>
  <c r="N427" i="38"/>
  <c r="F175" i="38"/>
  <c r="F132" i="38"/>
  <c r="M432" i="38"/>
  <c r="H37" i="38"/>
  <c r="E248" i="38"/>
  <c r="D207" i="38"/>
  <c r="K10" i="35"/>
  <c r="K10" i="37"/>
  <c r="J88" i="35"/>
  <c r="N253" i="35"/>
  <c r="K66" i="35"/>
  <c r="E39" i="38"/>
  <c r="M41" i="35"/>
  <c r="N398" i="35"/>
  <c r="G426" i="38"/>
  <c r="L23" i="35"/>
  <c r="D297" i="38"/>
  <c r="J97" i="35"/>
  <c r="K419" i="38"/>
  <c r="N422" i="38"/>
  <c r="M72" i="35"/>
  <c r="J165" i="35"/>
  <c r="E431" i="38"/>
  <c r="L18" i="35"/>
  <c r="M310" i="35"/>
  <c r="L434" i="38"/>
  <c r="E189" i="38"/>
  <c r="F52" i="38"/>
  <c r="M148" i="35"/>
  <c r="F33" i="38"/>
  <c r="J253" i="35"/>
  <c r="J238" i="35"/>
  <c r="E26" i="38"/>
  <c r="M260" i="35"/>
  <c r="E183" i="38"/>
  <c r="G40" i="38"/>
  <c r="L65" i="35"/>
  <c r="E401" i="38"/>
  <c r="E23" i="38"/>
  <c r="L35" i="35"/>
  <c r="F62" i="38"/>
  <c r="M264" i="35"/>
  <c r="N124" i="35"/>
  <c r="M37" i="35"/>
  <c r="G55" i="38"/>
  <c r="N296" i="35"/>
  <c r="M82" i="35"/>
  <c r="M441" i="38"/>
  <c r="J32" i="37"/>
  <c r="N437" i="38"/>
  <c r="E236" i="38"/>
  <c r="M171" i="35"/>
  <c r="D162" i="38"/>
  <c r="N316" i="35"/>
  <c r="N23" i="37"/>
  <c r="D184" i="38"/>
  <c r="N11" i="37"/>
  <c r="E437" i="38"/>
  <c r="N11" i="35"/>
  <c r="O16" i="37"/>
  <c r="J255" i="35"/>
  <c r="N91" i="35"/>
  <c r="M65" i="35"/>
  <c r="M440" i="38"/>
  <c r="F399" i="38"/>
  <c r="R35" i="37"/>
  <c r="F61" i="38"/>
  <c r="G423" i="38"/>
  <c r="F82" i="38"/>
  <c r="E38" i="38"/>
  <c r="F160" i="38"/>
  <c r="J146" i="35"/>
  <c r="M127" i="35"/>
  <c r="N274" i="35"/>
  <c r="M114" i="35"/>
  <c r="K47" i="35"/>
  <c r="M361" i="35"/>
  <c r="J75" i="35"/>
  <c r="N407" i="35"/>
  <c r="J295" i="35"/>
  <c r="F30" i="38"/>
  <c r="M57" i="35"/>
  <c r="F421" i="38"/>
  <c r="M258" i="35"/>
  <c r="N128" i="35"/>
  <c r="E275" i="38"/>
  <c r="M340" i="35"/>
  <c r="N194" i="35"/>
  <c r="M292" i="35"/>
  <c r="M236" i="35"/>
  <c r="N5" i="35"/>
  <c r="S7" i="37"/>
  <c r="N196" i="35"/>
  <c r="M70" i="35"/>
  <c r="F76" i="38"/>
  <c r="N352" i="35"/>
  <c r="L130" i="35"/>
  <c r="N25" i="35"/>
  <c r="F343" i="38"/>
  <c r="E11" i="38"/>
  <c r="M169" i="35"/>
  <c r="E57" i="38"/>
  <c r="E435" i="38"/>
  <c r="L6" i="35"/>
  <c r="M417" i="38"/>
  <c r="M162" i="35"/>
  <c r="E97" i="38"/>
  <c r="F179" i="38"/>
  <c r="E12" i="38"/>
  <c r="H43" i="38"/>
  <c r="M346" i="35"/>
  <c r="E211" i="38"/>
  <c r="J198" i="35"/>
  <c r="L19" i="35"/>
  <c r="N360" i="35"/>
  <c r="K16" i="35"/>
  <c r="F94" i="38"/>
  <c r="F398" i="38"/>
  <c r="E427" i="38"/>
  <c r="H62" i="38"/>
  <c r="N251" i="35"/>
  <c r="M235" i="35"/>
  <c r="M297" i="35"/>
  <c r="F40" i="38"/>
  <c r="D301" i="38"/>
  <c r="D322" i="38"/>
  <c r="L428" i="38"/>
  <c r="M215" i="35"/>
  <c r="N15" i="37"/>
  <c r="D197" i="38"/>
  <c r="H6" i="38"/>
  <c r="G18" i="38"/>
  <c r="F58" i="38"/>
  <c r="F161" i="38"/>
  <c r="J73" i="35"/>
  <c r="M422" i="38"/>
  <c r="M31" i="35"/>
  <c r="F434" i="38"/>
  <c r="D227" i="38"/>
  <c r="F395" i="38"/>
  <c r="N325" i="35"/>
  <c r="N264" i="35"/>
  <c r="M49" i="35"/>
  <c r="J100" i="35"/>
  <c r="H68" i="38"/>
  <c r="J172" i="35"/>
  <c r="E293" i="38"/>
  <c r="H427" i="38"/>
  <c r="L99" i="35"/>
  <c r="M32" i="35"/>
  <c r="M240" i="35"/>
  <c r="J163" i="35"/>
  <c r="J211" i="35"/>
  <c r="N184" i="35"/>
  <c r="E35" i="38"/>
  <c r="L12" i="35"/>
  <c r="D188" i="38"/>
  <c r="E53" i="38"/>
  <c r="J93" i="35"/>
  <c r="M208" i="35"/>
  <c r="F85" i="38"/>
  <c r="J277" i="35"/>
  <c r="E207" i="38"/>
  <c r="M176" i="35"/>
  <c r="N56" i="35"/>
  <c r="F60" i="38"/>
  <c r="J216" i="35"/>
  <c r="J183" i="35"/>
  <c r="E170" i="38"/>
  <c r="M17" i="37"/>
  <c r="F400" i="38"/>
  <c r="L25" i="35"/>
  <c r="E424" i="38"/>
  <c r="F21" i="38"/>
  <c r="F327" i="38"/>
  <c r="E121" i="38"/>
  <c r="L7" i="35"/>
  <c r="J258" i="35"/>
  <c r="N70" i="35"/>
  <c r="F12" i="38"/>
  <c r="M118" i="35"/>
  <c r="M376" i="35"/>
  <c r="L95" i="35"/>
  <c r="M290" i="35"/>
  <c r="D232" i="38"/>
  <c r="F371" i="38"/>
  <c r="F35" i="38"/>
  <c r="M406" i="35"/>
  <c r="J96" i="35"/>
  <c r="E257" i="38"/>
  <c r="N302" i="35"/>
  <c r="M278" i="35"/>
  <c r="N205" i="35"/>
  <c r="D168" i="38"/>
  <c r="F189" i="38"/>
  <c r="P10" i="37"/>
  <c r="J322" i="35"/>
  <c r="J50" i="35"/>
  <c r="G52" i="38"/>
  <c r="N297" i="35"/>
  <c r="M268" i="35"/>
  <c r="M289" i="35"/>
  <c r="J112" i="35"/>
  <c r="N100" i="35"/>
  <c r="N18" i="35"/>
  <c r="N172" i="35"/>
  <c r="F110" i="38"/>
  <c r="J170" i="35"/>
  <c r="L106" i="35"/>
  <c r="J21" i="35"/>
  <c r="E243" i="38"/>
  <c r="J142" i="35"/>
  <c r="E299" i="38"/>
  <c r="J63" i="35"/>
  <c r="M401" i="35"/>
  <c r="L17" i="37"/>
  <c r="M421" i="38"/>
  <c r="H29" i="38"/>
  <c r="M88" i="35"/>
  <c r="M105" i="35"/>
  <c r="E60" i="38"/>
  <c r="E439" i="38"/>
  <c r="F113" i="38"/>
  <c r="E67" i="38"/>
  <c r="H40" i="38"/>
  <c r="M143" i="35"/>
  <c r="M81" i="35"/>
  <c r="F419" i="38"/>
  <c r="J274" i="35"/>
  <c r="E73" i="38"/>
  <c r="J103" i="35"/>
  <c r="E281" i="38"/>
  <c r="N173" i="35"/>
  <c r="E227" i="38"/>
  <c r="E16" i="38"/>
  <c r="F93" i="38"/>
  <c r="J204" i="35"/>
  <c r="H27" i="38"/>
  <c r="N9" i="37"/>
  <c r="J124" i="35"/>
  <c r="M424" i="38"/>
  <c r="N258" i="35"/>
  <c r="E160" i="38"/>
  <c r="M78" i="35"/>
  <c r="F414" i="38"/>
  <c r="N98" i="35"/>
  <c r="E268" i="38"/>
  <c r="K15" i="35"/>
  <c r="K435" i="38"/>
  <c r="N32" i="35"/>
  <c r="J98" i="35"/>
  <c r="E403" i="38"/>
  <c r="N424" i="38"/>
  <c r="J44" i="35"/>
  <c r="J26" i="37"/>
  <c r="G34" i="38"/>
  <c r="K5" i="37"/>
  <c r="N209" i="35"/>
  <c r="R7" i="37"/>
  <c r="D276" i="38"/>
  <c r="J86" i="35"/>
  <c r="J16" i="37"/>
  <c r="N77" i="35"/>
  <c r="L41" i="35"/>
  <c r="N223" i="35"/>
  <c r="J131" i="35"/>
  <c r="N327" i="35"/>
  <c r="H13" i="38"/>
  <c r="N217" i="35"/>
  <c r="F422" i="38"/>
  <c r="H429" i="38"/>
  <c r="K13" i="35"/>
  <c r="J251" i="35"/>
  <c r="F342" i="38"/>
  <c r="F374" i="38"/>
  <c r="F431" i="38"/>
  <c r="L42" i="35"/>
  <c r="L21" i="35"/>
  <c r="L29" i="35"/>
  <c r="K63" i="35"/>
  <c r="D343" i="38"/>
  <c r="G45" i="38"/>
  <c r="N143" i="35"/>
  <c r="L105" i="35"/>
  <c r="J30" i="37"/>
  <c r="E423" i="38"/>
  <c r="M320" i="35"/>
  <c r="P17" i="37"/>
  <c r="E37" i="38"/>
  <c r="M230" i="35"/>
  <c r="D243" i="38"/>
  <c r="N282" i="35"/>
  <c r="L14" i="35"/>
  <c r="J14" i="35"/>
  <c r="E245" i="38"/>
  <c r="F125" i="38"/>
  <c r="E36" i="38"/>
  <c r="D145" i="38"/>
  <c r="M116" i="35"/>
  <c r="N215" i="35"/>
  <c r="E232" i="38"/>
  <c r="L48" i="35"/>
  <c r="J6" i="37"/>
  <c r="E215" i="38"/>
  <c r="E165" i="38"/>
  <c r="M437" i="38"/>
  <c r="M90" i="35"/>
  <c r="R19" i="37"/>
  <c r="E242" i="38"/>
  <c r="M380" i="35"/>
  <c r="M250" i="35"/>
  <c r="J110" i="35"/>
  <c r="J101" i="35"/>
  <c r="E144" i="38"/>
  <c r="J90" i="35"/>
  <c r="K19" i="35"/>
  <c r="M122" i="35"/>
  <c r="M8" i="35"/>
  <c r="F181" i="38"/>
  <c r="M219" i="35"/>
  <c r="H23" i="38"/>
  <c r="M321" i="35"/>
  <c r="M271" i="35"/>
  <c r="D268" i="38"/>
  <c r="D249" i="38"/>
  <c r="F186" i="38"/>
  <c r="E99" i="38"/>
  <c r="N421" i="38"/>
  <c r="D19" i="38"/>
  <c r="E290" i="38"/>
  <c r="M319" i="35"/>
  <c r="J323" i="35"/>
  <c r="N46" i="35"/>
  <c r="F55" i="38"/>
  <c r="F426" i="38"/>
  <c r="K428" i="38"/>
  <c r="M14" i="35"/>
  <c r="M367" i="35"/>
  <c r="G54" i="38"/>
  <c r="F149" i="38"/>
  <c r="F316" i="38"/>
  <c r="J328" i="35"/>
  <c r="M428" i="38"/>
  <c r="M54" i="35"/>
  <c r="M166" i="35"/>
  <c r="M429" i="38"/>
  <c r="L134" i="35"/>
  <c r="J224" i="35"/>
  <c r="D321" i="38"/>
  <c r="D228" i="38"/>
  <c r="N376" i="35"/>
  <c r="N52" i="35"/>
  <c r="N141" i="35"/>
  <c r="S6" i="37"/>
  <c r="M149" i="35"/>
  <c r="E187" i="38"/>
  <c r="D236" i="38"/>
  <c r="E102" i="38"/>
  <c r="N201" i="35"/>
  <c r="J260" i="35"/>
  <c r="E251" i="38"/>
  <c r="N263" i="35"/>
  <c r="E273" i="38"/>
  <c r="E84" i="38"/>
  <c r="N3" i="35"/>
  <c r="E278" i="38"/>
  <c r="L113" i="35"/>
  <c r="N199" i="35"/>
  <c r="F180" i="38"/>
  <c r="P3" i="37"/>
  <c r="F69" i="38"/>
  <c r="F120" i="38"/>
  <c r="N429" i="38"/>
  <c r="N59" i="35"/>
  <c r="N69" i="35"/>
  <c r="J65" i="35"/>
  <c r="N132" i="35"/>
  <c r="M203" i="35"/>
  <c r="D12" i="38"/>
  <c r="N179" i="35"/>
  <c r="F376" i="38"/>
  <c r="L423" i="38"/>
  <c r="J32" i="35"/>
  <c r="M298" i="35"/>
  <c r="F190" i="38"/>
  <c r="M190" i="35"/>
  <c r="G64" i="38"/>
  <c r="M152" i="35"/>
  <c r="G36" i="38"/>
  <c r="E292" i="38"/>
  <c r="L28" i="35"/>
  <c r="F409" i="38"/>
  <c r="M120" i="35"/>
  <c r="J145" i="35"/>
  <c r="E101" i="38"/>
  <c r="M14" i="37"/>
  <c r="D233" i="38"/>
  <c r="D290" i="38"/>
  <c r="E415" i="38"/>
  <c r="M142" i="35"/>
  <c r="M165" i="35"/>
  <c r="E143" i="38"/>
  <c r="N272" i="35"/>
  <c r="M39" i="35"/>
  <c r="Q6" i="37"/>
  <c r="N47" i="35"/>
  <c r="J440" i="38"/>
  <c r="M248" i="35"/>
  <c r="M113" i="35"/>
  <c r="M317" i="35"/>
  <c r="N245" i="35"/>
  <c r="M242" i="35"/>
  <c r="N8" i="35"/>
  <c r="H432" i="38"/>
  <c r="F360" i="38"/>
  <c r="J431" i="38"/>
  <c r="M164" i="35"/>
  <c r="E432" i="38"/>
  <c r="F183" i="38"/>
  <c r="N391" i="35"/>
  <c r="F356" i="38"/>
  <c r="N361" i="35"/>
  <c r="F404" i="38"/>
  <c r="L6" i="37"/>
  <c r="M126" i="35"/>
  <c r="N238" i="35"/>
  <c r="E282" i="38"/>
  <c r="G418" i="38"/>
  <c r="D247" i="38"/>
  <c r="F31" i="38"/>
  <c r="H439" i="38"/>
  <c r="N219" i="35"/>
  <c r="E159" i="38"/>
  <c r="M156" i="35"/>
  <c r="E172" i="38"/>
  <c r="M145" i="35"/>
  <c r="J176" i="35"/>
  <c r="N345" i="35"/>
  <c r="G49" i="38"/>
  <c r="E436" i="38"/>
  <c r="D235" i="38"/>
  <c r="P14" i="37"/>
  <c r="N236" i="35"/>
  <c r="F196" i="38"/>
  <c r="F197" i="38"/>
  <c r="O14" i="37"/>
  <c r="P15" i="37"/>
  <c r="E414" i="38"/>
  <c r="J305" i="35"/>
  <c r="D218" i="38"/>
  <c r="M337" i="35"/>
  <c r="N176" i="35"/>
  <c r="H57" i="38"/>
  <c r="M439" i="38"/>
  <c r="N60" i="35"/>
  <c r="M284" i="35"/>
  <c r="J315" i="35"/>
  <c r="L91" i="35"/>
  <c r="J275" i="35"/>
  <c r="M96" i="35"/>
  <c r="N329" i="35"/>
  <c r="L55" i="35"/>
  <c r="N320" i="35"/>
  <c r="F357" i="38"/>
  <c r="S9" i="37"/>
  <c r="D166" i="38"/>
  <c r="D154" i="38"/>
  <c r="J91" i="35"/>
  <c r="M159" i="35"/>
  <c r="M347" i="35"/>
  <c r="L33" i="35"/>
  <c r="N304" i="35"/>
  <c r="K43" i="35"/>
  <c r="D164" i="38"/>
  <c r="J187" i="35"/>
  <c r="E90" i="38"/>
  <c r="E71" i="38"/>
  <c r="D318" i="38"/>
  <c r="J226" i="35"/>
  <c r="K21" i="35"/>
  <c r="N65" i="35"/>
  <c r="J257" i="35"/>
  <c r="D174" i="38"/>
  <c r="J432" i="38"/>
  <c r="I420" i="38"/>
  <c r="E221" i="38"/>
  <c r="N432" i="38"/>
  <c r="D332" i="38"/>
  <c r="F49" i="38"/>
  <c r="M288" i="35"/>
  <c r="G420" i="38"/>
  <c r="J61" i="35"/>
  <c r="E239" i="38"/>
  <c r="J150" i="35"/>
  <c r="E48" i="38"/>
  <c r="N88" i="35"/>
  <c r="M17" i="35"/>
  <c r="N341" i="35"/>
  <c r="L116" i="35"/>
  <c r="F16" i="38"/>
  <c r="E150" i="38"/>
  <c r="J87" i="35"/>
  <c r="M273" i="35"/>
  <c r="G427" i="38"/>
  <c r="N89" i="35"/>
  <c r="N261" i="35"/>
  <c r="F403" i="38"/>
  <c r="N111" i="35"/>
  <c r="F307" i="38"/>
  <c r="E107" i="38"/>
  <c r="F144" i="38"/>
  <c r="F193" i="38"/>
  <c r="M247" i="35"/>
  <c r="F68" i="38"/>
  <c r="D329" i="38"/>
  <c r="J132" i="35"/>
  <c r="E441" i="38"/>
  <c r="G430" i="38"/>
  <c r="E79" i="38"/>
  <c r="E145" i="38"/>
  <c r="M134" i="35"/>
  <c r="J308" i="35"/>
  <c r="K432" i="38"/>
  <c r="K20" i="35"/>
  <c r="M36" i="35"/>
  <c r="M245" i="35"/>
  <c r="E139" i="38"/>
  <c r="I435" i="38"/>
  <c r="J246" i="35"/>
  <c r="K440" i="38"/>
  <c r="J81" i="35"/>
  <c r="M223" i="35"/>
  <c r="I423" i="38"/>
  <c r="K49" i="35"/>
  <c r="N324" i="35"/>
  <c r="J80" i="35"/>
  <c r="D260" i="38"/>
  <c r="F156" i="38"/>
  <c r="M109" i="35"/>
  <c r="M431" i="38"/>
  <c r="N157" i="35"/>
  <c r="E89" i="38"/>
  <c r="E154" i="38"/>
  <c r="F78" i="38"/>
  <c r="F410" i="38"/>
  <c r="L104" i="35"/>
  <c r="I434" i="38"/>
  <c r="G16" i="38"/>
  <c r="F95" i="38"/>
  <c r="J33" i="37"/>
  <c r="F303" i="38"/>
  <c r="N309" i="35"/>
  <c r="J441" i="38"/>
  <c r="L440" i="38"/>
  <c r="F392" i="38"/>
  <c r="E77" i="38"/>
  <c r="D346" i="38"/>
  <c r="D13" i="38"/>
  <c r="D153" i="38"/>
  <c r="J294" i="35"/>
  <c r="N31" i="35"/>
  <c r="K65" i="35"/>
  <c r="N430" i="38"/>
  <c r="F5" i="38"/>
  <c r="E55" i="38"/>
  <c r="L9" i="37"/>
  <c r="N395" i="35"/>
  <c r="D283" i="38"/>
  <c r="N61" i="35"/>
  <c r="F167" i="38"/>
  <c r="M207" i="35"/>
  <c r="F322" i="38"/>
  <c r="M28" i="35"/>
  <c r="N19" i="37"/>
  <c r="F112" i="38"/>
  <c r="N375" i="35"/>
  <c r="E406" i="38"/>
  <c r="H19" i="38"/>
  <c r="M66" i="35"/>
  <c r="F323" i="38"/>
  <c r="J230" i="35"/>
  <c r="F41" i="38"/>
  <c r="J214" i="35"/>
  <c r="J259" i="35"/>
  <c r="F54" i="38"/>
  <c r="E85" i="38"/>
  <c r="N355" i="35"/>
  <c r="F51" i="38"/>
  <c r="M275" i="35"/>
  <c r="G30" i="38"/>
  <c r="M311" i="35"/>
  <c r="N120" i="35"/>
  <c r="F3" i="38"/>
  <c r="J326" i="35"/>
  <c r="N33" i="35"/>
  <c r="E197" i="38"/>
  <c r="M33" i="35"/>
  <c r="F70" i="38"/>
  <c r="F15" i="38"/>
  <c r="L22" i="35"/>
  <c r="F96" i="38"/>
  <c r="E267" i="38"/>
  <c r="N339" i="35"/>
  <c r="F136" i="38"/>
  <c r="M199" i="35"/>
  <c r="M259" i="35"/>
  <c r="F86" i="38"/>
  <c r="J186" i="35"/>
  <c r="J35" i="35"/>
  <c r="N436" i="38"/>
  <c r="E191" i="38"/>
  <c r="J47" i="35"/>
  <c r="J102" i="35"/>
  <c r="H12" i="38"/>
  <c r="J182" i="35"/>
  <c r="N181" i="35"/>
  <c r="J428" i="38"/>
  <c r="K9" i="35"/>
  <c r="N159" i="35"/>
  <c r="N203" i="35"/>
  <c r="G428" i="38"/>
  <c r="D312" i="38"/>
  <c r="D200" i="38"/>
  <c r="F88" i="38"/>
  <c r="L19" i="37"/>
  <c r="M408" i="35"/>
  <c r="J117" i="35"/>
  <c r="F134" i="38"/>
  <c r="M423" i="38"/>
  <c r="D158" i="38"/>
  <c r="F390" i="38"/>
  <c r="N379" i="35"/>
  <c r="N371" i="35"/>
  <c r="L75" i="35"/>
  <c r="F22" i="38"/>
  <c r="L53" i="35"/>
  <c r="N3" i="37"/>
  <c r="D155" i="38"/>
  <c r="D144" i="38"/>
  <c r="E8" i="38"/>
  <c r="J12" i="35"/>
  <c r="E255" i="38"/>
  <c r="F39" i="38"/>
  <c r="L56" i="35"/>
  <c r="N384" i="35"/>
  <c r="N299" i="35"/>
  <c r="M15" i="37"/>
  <c r="H25" i="38"/>
  <c r="L124" i="35"/>
  <c r="N190" i="35"/>
  <c r="H51" i="38"/>
  <c r="N235" i="35"/>
  <c r="J52" i="35"/>
  <c r="M23" i="37"/>
  <c r="M6" i="37"/>
  <c r="I426" i="38"/>
  <c r="M112" i="35"/>
  <c r="F318" i="38"/>
  <c r="D310" i="38"/>
  <c r="F352" i="38"/>
  <c r="F140" i="38"/>
  <c r="J144" i="35"/>
  <c r="M187" i="35"/>
  <c r="M18" i="35"/>
  <c r="H60" i="38"/>
  <c r="K13" i="37"/>
  <c r="N64" i="35"/>
  <c r="M193" i="35"/>
  <c r="J329" i="35"/>
  <c r="E420" i="38"/>
  <c r="R23" i="37"/>
  <c r="N349" i="35"/>
  <c r="E279" i="38"/>
  <c r="L79" i="35"/>
  <c r="J42" i="35"/>
  <c r="N208" i="35"/>
  <c r="N354" i="35"/>
  <c r="I433" i="38"/>
  <c r="M181" i="35"/>
  <c r="J330" i="35"/>
  <c r="K52" i="35"/>
  <c r="J127" i="35"/>
  <c r="K15" i="37"/>
  <c r="D288" i="38"/>
  <c r="E416" i="38"/>
  <c r="N174" i="35"/>
  <c r="M111" i="35"/>
  <c r="N419" i="38"/>
  <c r="N440" i="38"/>
  <c r="D282" i="38"/>
  <c r="D237" i="38"/>
  <c r="F101" i="38"/>
  <c r="M175" i="35"/>
  <c r="K31" i="35"/>
  <c r="D269" i="38"/>
  <c r="E241" i="38"/>
  <c r="J135" i="35"/>
  <c r="L425" i="38"/>
  <c r="M45" i="35"/>
  <c r="J316" i="35"/>
  <c r="H436" i="38"/>
  <c r="E231" i="38"/>
  <c r="N303" i="35"/>
  <c r="L62" i="35"/>
  <c r="J25" i="37"/>
  <c r="K431" i="38"/>
  <c r="F317" i="38"/>
  <c r="E105" i="38"/>
  <c r="D253" i="38"/>
  <c r="N387" i="35"/>
  <c r="N121" i="35"/>
  <c r="K421" i="38"/>
  <c r="M64" i="35"/>
  <c r="N343" i="35"/>
  <c r="M254" i="35"/>
  <c r="M50" i="35"/>
  <c r="F407" i="38"/>
  <c r="E413" i="38"/>
  <c r="L418" i="38"/>
  <c r="H417" i="38"/>
  <c r="J312" i="35"/>
  <c r="J288" i="35"/>
  <c r="E125" i="38"/>
  <c r="J189" i="35"/>
  <c r="D302" i="38"/>
  <c r="G431" i="38"/>
  <c r="J193" i="35"/>
  <c r="N347" i="35"/>
  <c r="E266" i="38"/>
  <c r="M370" i="35"/>
  <c r="N378" i="35"/>
  <c r="M22" i="35"/>
  <c r="H26" i="38"/>
  <c r="D264" i="38"/>
  <c r="E32" i="38"/>
  <c r="K19" i="37"/>
  <c r="F154" i="38"/>
  <c r="P7" i="37"/>
  <c r="F36" i="38"/>
  <c r="J31" i="37"/>
  <c r="Q21" i="37"/>
  <c r="E141" i="38"/>
  <c r="J20" i="35"/>
  <c r="F137" i="38"/>
  <c r="M189" i="35"/>
  <c r="L126" i="35"/>
  <c r="N214" i="35"/>
  <c r="E185" i="38"/>
  <c r="N112" i="35"/>
  <c r="M303" i="35"/>
  <c r="N139" i="35"/>
  <c r="N14" i="37"/>
  <c r="E103" i="38"/>
  <c r="H36" i="38"/>
  <c r="M20" i="35"/>
  <c r="D337" i="38"/>
  <c r="G37" i="38"/>
  <c r="D270" i="38"/>
  <c r="J116" i="35"/>
  <c r="L426" i="38"/>
  <c r="N58" i="35"/>
  <c r="M197" i="35"/>
  <c r="E33" i="38"/>
  <c r="N277" i="35"/>
  <c r="D309" i="38"/>
  <c r="L64" i="35"/>
  <c r="O6" i="37"/>
  <c r="D148" i="38"/>
  <c r="E202" i="38"/>
  <c r="D241" i="38"/>
  <c r="D296" i="38"/>
  <c r="F432" i="38"/>
  <c r="N408" i="35"/>
  <c r="D219" i="38"/>
  <c r="E69" i="38"/>
  <c r="L88" i="35"/>
  <c r="N286" i="35"/>
  <c r="M182" i="35"/>
  <c r="L24" i="35"/>
  <c r="F9" i="38"/>
  <c r="F79" i="38"/>
  <c r="F435" i="38"/>
  <c r="M374" i="35"/>
  <c r="K24" i="35"/>
  <c r="J311" i="35"/>
  <c r="J29" i="35"/>
  <c r="F127" i="38"/>
  <c r="L131" i="35"/>
  <c r="J136" i="35"/>
  <c r="E206" i="38"/>
  <c r="J439" i="38"/>
  <c r="N189" i="35"/>
  <c r="L5" i="37"/>
  <c r="M2" i="35"/>
  <c r="N356" i="35"/>
  <c r="G28" i="38"/>
  <c r="M53" i="35"/>
  <c r="L17" i="35"/>
  <c r="J206" i="35"/>
  <c r="D306" i="38"/>
  <c r="P9" i="37"/>
  <c r="E195" i="38"/>
  <c r="D18" i="38"/>
  <c r="E110" i="38"/>
  <c r="J429" i="38"/>
  <c r="D178" i="38"/>
  <c r="N231" i="35"/>
  <c r="F146" i="38"/>
  <c r="N266" i="35"/>
  <c r="D257" i="38"/>
  <c r="N109" i="35"/>
  <c r="L78" i="35"/>
  <c r="J17" i="37"/>
  <c r="M294" i="35"/>
  <c r="J34" i="37"/>
  <c r="L72" i="35"/>
  <c r="L70" i="35"/>
  <c r="M205" i="35"/>
  <c r="N283" i="35"/>
  <c r="M227" i="35"/>
  <c r="M316" i="35"/>
  <c r="M315" i="35"/>
  <c r="M391" i="35"/>
  <c r="E29" i="38"/>
  <c r="M249" i="35"/>
  <c r="N322" i="35"/>
  <c r="M30" i="35"/>
  <c r="J261" i="35"/>
  <c r="D324" i="38"/>
  <c r="M24" i="35"/>
  <c r="M231" i="35"/>
  <c r="I436" i="38"/>
  <c r="F331" i="38"/>
  <c r="E81" i="38"/>
  <c r="N26" i="35"/>
  <c r="E27" i="38"/>
  <c r="J129" i="35"/>
  <c r="G35" i="38"/>
  <c r="E277" i="38"/>
  <c r="D159" i="38"/>
  <c r="F152" i="38"/>
  <c r="J235" i="35"/>
  <c r="J46" i="35"/>
  <c r="J270" i="35"/>
  <c r="M369" i="35"/>
  <c r="E297" i="38"/>
  <c r="N350" i="35"/>
  <c r="E284" i="38"/>
  <c r="F302" i="38"/>
  <c r="N340" i="35"/>
  <c r="L51" i="35"/>
  <c r="M131" i="35"/>
  <c r="F336" i="38"/>
  <c r="H434" i="38"/>
  <c r="N392" i="35"/>
  <c r="M133" i="35"/>
  <c r="F72" i="38"/>
  <c r="M161" i="35"/>
  <c r="D244" i="38"/>
  <c r="G425" i="38"/>
  <c r="M262" i="35"/>
  <c r="J213" i="35"/>
  <c r="J321" i="35"/>
  <c r="M433" i="38"/>
  <c r="M29" i="35"/>
  <c r="F192" i="38"/>
  <c r="E135" i="38"/>
  <c r="J13" i="35"/>
  <c r="N153" i="35"/>
  <c r="E276" i="38"/>
  <c r="E88" i="38"/>
  <c r="J292" i="35"/>
  <c r="E122" i="38"/>
  <c r="M42" i="35"/>
  <c r="H32" i="38"/>
  <c r="E271" i="38"/>
  <c r="N239" i="35"/>
  <c r="M251" i="35"/>
  <c r="E83" i="38"/>
  <c r="H53" i="38"/>
  <c r="F372" i="38"/>
  <c r="J85" i="35"/>
  <c r="N441" i="38"/>
  <c r="K6" i="35"/>
  <c r="E20" i="38"/>
  <c r="F66" i="38"/>
  <c r="M427" i="38"/>
  <c r="F326" i="38"/>
  <c r="G21" i="38"/>
  <c r="F105" i="38"/>
  <c r="D181" i="38"/>
  <c r="N119" i="35"/>
  <c r="M58" i="35"/>
  <c r="M305" i="35"/>
  <c r="M75" i="35"/>
  <c r="R14" i="37"/>
  <c r="N381" i="35"/>
  <c r="G51" i="38"/>
  <c r="J141" i="35"/>
  <c r="L429" i="38"/>
  <c r="S3" i="37"/>
  <c r="F138" i="38"/>
  <c r="J94" i="35"/>
  <c r="J138" i="35"/>
  <c r="G62" i="38"/>
  <c r="M68" i="35"/>
  <c r="J159" i="35"/>
  <c r="E128" i="38"/>
  <c r="J4" i="35"/>
  <c r="M283" i="35"/>
  <c r="M438" i="38"/>
  <c r="J57" i="35"/>
  <c r="D311" i="38"/>
  <c r="M62" i="35"/>
  <c r="M56" i="35"/>
  <c r="E52" i="38"/>
  <c r="F57" i="38"/>
  <c r="F381" i="38"/>
  <c r="L438" i="38"/>
  <c r="K67" i="35"/>
  <c r="G14" i="38"/>
  <c r="M194" i="35"/>
  <c r="M211" i="35"/>
  <c r="J338" i="35"/>
  <c r="F81" i="38"/>
  <c r="F304" i="38"/>
  <c r="N313" i="35"/>
  <c r="N288" i="35"/>
  <c r="G12" i="38"/>
  <c r="D255" i="38"/>
  <c r="E80" i="38"/>
  <c r="F188" i="38"/>
  <c r="N240" i="35"/>
  <c r="N9" i="35"/>
  <c r="N160" i="35"/>
  <c r="N185" i="35"/>
  <c r="J77" i="35"/>
  <c r="M136" i="35"/>
  <c r="F111" i="38"/>
  <c r="D271" i="38"/>
  <c r="K2" i="35"/>
  <c r="M144" i="35"/>
  <c r="M209" i="35"/>
  <c r="L90" i="35"/>
  <c r="E421" i="38"/>
  <c r="D5" i="38"/>
  <c r="L40" i="35"/>
  <c r="L85" i="35"/>
  <c r="D347" i="38"/>
  <c r="J125" i="35"/>
  <c r="M84" i="35"/>
  <c r="M125" i="35"/>
  <c r="N104" i="35"/>
  <c r="F34" i="38"/>
  <c r="N41" i="35"/>
  <c r="Q10" i="37"/>
  <c r="M383" i="35"/>
  <c r="K7" i="37"/>
  <c r="G63" i="38"/>
  <c r="N212" i="35"/>
  <c r="N17" i="37"/>
  <c r="N175" i="35"/>
  <c r="E213" i="38"/>
  <c r="M177" i="35"/>
  <c r="E298" i="38"/>
  <c r="N433" i="38"/>
  <c r="D287" i="38"/>
  <c r="E434" i="38"/>
  <c r="G58" i="38"/>
  <c r="M221" i="35"/>
  <c r="E46" i="38"/>
  <c r="N23" i="35"/>
  <c r="E440" i="38"/>
  <c r="F116" i="38"/>
  <c r="L69" i="35"/>
  <c r="N342" i="35"/>
  <c r="M281" i="35"/>
  <c r="D300" i="38"/>
  <c r="D214" i="38"/>
  <c r="F77" i="38"/>
  <c r="M55" i="35"/>
  <c r="N44" i="35"/>
  <c r="N13" i="37"/>
  <c r="F427" i="38"/>
  <c r="N228" i="35"/>
  <c r="F346" i="38"/>
  <c r="D223" i="38"/>
  <c r="J3" i="35"/>
  <c r="H67" i="38"/>
  <c r="F305" i="38"/>
  <c r="O5" i="37"/>
  <c r="M246" i="35"/>
  <c r="E109" i="38"/>
  <c r="M296" i="35"/>
  <c r="N79" i="35"/>
  <c r="N382" i="35"/>
  <c r="K430" i="38"/>
  <c r="F25" i="38"/>
  <c r="K14" i="35"/>
  <c r="F71" i="38"/>
  <c r="M130" i="35"/>
  <c r="E14" i="38"/>
  <c r="M314" i="35"/>
  <c r="L54" i="35"/>
  <c r="G435" i="38"/>
  <c r="F191" i="38"/>
  <c r="M304" i="35"/>
  <c r="F162" i="38"/>
  <c r="M178" i="35"/>
  <c r="M92" i="35"/>
  <c r="E217" i="38"/>
  <c r="L68" i="35"/>
  <c r="H35" i="38"/>
  <c r="F437" i="38"/>
  <c r="I425" i="38"/>
  <c r="M325" i="35"/>
  <c r="F369" i="38"/>
  <c r="J281" i="35"/>
  <c r="E226" i="38"/>
  <c r="R9" i="37"/>
  <c r="E192" i="38"/>
  <c r="M371" i="35"/>
  <c r="Q14" i="37"/>
  <c r="D210" i="38"/>
  <c r="E425" i="38"/>
  <c r="E78" i="38"/>
  <c r="J196" i="35"/>
  <c r="G57" i="38"/>
  <c r="F98" i="38"/>
  <c r="E98" i="38"/>
  <c r="F308" i="38"/>
  <c r="G61" i="38"/>
  <c r="E288" i="38"/>
  <c r="K45" i="35"/>
  <c r="J263" i="35"/>
  <c r="M295" i="35"/>
  <c r="M326" i="35"/>
  <c r="F63" i="38"/>
  <c r="D143" i="38"/>
  <c r="J70" i="35"/>
  <c r="J324" i="35"/>
  <c r="K35" i="37"/>
  <c r="N28" i="35"/>
  <c r="N130" i="35"/>
  <c r="M210" i="35"/>
  <c r="M299" i="35"/>
  <c r="F309" i="38"/>
  <c r="N254" i="35"/>
  <c r="N359" i="35"/>
  <c r="M19" i="35"/>
  <c r="N14" i="35"/>
  <c r="J15" i="37"/>
  <c r="L43" i="35"/>
  <c r="H50" i="38"/>
  <c r="D161" i="38"/>
  <c r="N388" i="35"/>
  <c r="D277" i="38"/>
  <c r="D9" i="38"/>
  <c r="K56" i="35"/>
  <c r="H24" i="38"/>
  <c r="M121" i="35"/>
  <c r="L84" i="35"/>
  <c r="L47" i="35"/>
  <c r="M270" i="35"/>
  <c r="E260" i="38"/>
  <c r="G417" i="38"/>
  <c r="H424" i="38"/>
  <c r="J33" i="35"/>
  <c r="L57" i="35"/>
  <c r="N78" i="35"/>
  <c r="L132" i="35"/>
  <c r="N307" i="35"/>
  <c r="N74" i="35"/>
  <c r="G25" i="38"/>
  <c r="J233" i="35"/>
  <c r="E41" i="38"/>
  <c r="G7" i="38"/>
  <c r="M69" i="35"/>
  <c r="F122" i="38"/>
  <c r="J434" i="38"/>
  <c r="L437" i="38"/>
  <c r="M153" i="35"/>
  <c r="F99" i="38"/>
  <c r="E294" i="38"/>
  <c r="N12" i="35"/>
  <c r="M10" i="37"/>
  <c r="D254" i="38"/>
  <c r="F133" i="38"/>
  <c r="N211" i="35"/>
  <c r="O15" i="37"/>
  <c r="E404" i="38"/>
  <c r="N107" i="35"/>
  <c r="E263" i="38"/>
  <c r="K3" i="35"/>
  <c r="N220" i="35"/>
  <c r="I431" i="38"/>
  <c r="E113" i="38"/>
  <c r="J19" i="35"/>
  <c r="F324" i="38"/>
  <c r="F306" i="38"/>
  <c r="N315" i="35"/>
  <c r="J60" i="35"/>
  <c r="M339" i="35"/>
  <c r="J152" i="35"/>
  <c r="L427" i="38"/>
  <c r="E19" i="38"/>
  <c r="H423" i="38"/>
  <c r="J188" i="35"/>
  <c r="J119" i="35"/>
  <c r="M132" i="35"/>
  <c r="H65" i="38"/>
  <c r="N358" i="35"/>
  <c r="F43" i="38"/>
  <c r="F364" i="38"/>
  <c r="J307" i="35"/>
  <c r="G43" i="38"/>
  <c r="N83" i="35"/>
  <c r="J167" i="35"/>
  <c r="D203" i="38"/>
  <c r="D156" i="38"/>
  <c r="E155" i="38"/>
  <c r="F92" i="38"/>
  <c r="M7" i="37"/>
  <c r="I429" i="38"/>
  <c r="N129" i="35"/>
  <c r="J298" i="35"/>
  <c r="J210" i="35"/>
  <c r="N13" i="35"/>
  <c r="J72" i="35"/>
  <c r="F338" i="38"/>
  <c r="J285" i="35"/>
  <c r="M110" i="35"/>
  <c r="L16" i="35"/>
  <c r="K51" i="35"/>
  <c r="R3" i="37"/>
  <c r="M16" i="37"/>
  <c r="D317" i="38"/>
  <c r="E28" i="38"/>
  <c r="F171" i="38"/>
  <c r="M35" i="35"/>
  <c r="N438" i="38"/>
  <c r="O19" i="37"/>
  <c r="M389" i="35"/>
  <c r="M172" i="35"/>
  <c r="M137" i="35"/>
  <c r="K27" i="35"/>
  <c r="F418" i="38"/>
  <c r="M356" i="35"/>
  <c r="M61" i="35"/>
  <c r="D225" i="38"/>
  <c r="D294" i="38"/>
  <c r="D286" i="38"/>
  <c r="I418" i="38"/>
  <c r="M238" i="35"/>
  <c r="M237" i="35"/>
  <c r="D141" i="38"/>
  <c r="H419" i="38"/>
  <c r="L128" i="35"/>
  <c r="E152" i="38"/>
  <c r="M392" i="35"/>
  <c r="F24" i="38"/>
  <c r="K14" i="37"/>
  <c r="M213" i="35"/>
  <c r="G15" i="38"/>
  <c r="Q23" i="37"/>
  <c r="N222" i="35"/>
  <c r="D275" i="38"/>
  <c r="D186" i="38"/>
  <c r="M252" i="35"/>
  <c r="J177" i="35"/>
  <c r="N216" i="35"/>
  <c r="F130" i="38"/>
  <c r="N285" i="35"/>
  <c r="L2" i="35"/>
  <c r="N252" i="35"/>
  <c r="J219" i="35"/>
  <c r="F379" i="38"/>
  <c r="L63" i="35"/>
  <c r="M16" i="35"/>
  <c r="N110" i="35"/>
  <c r="D345" i="38"/>
  <c r="F64" i="38"/>
  <c r="J16" i="35"/>
  <c r="L133" i="35"/>
  <c r="E148" i="38"/>
  <c r="M216" i="35"/>
  <c r="E21" i="38"/>
  <c r="E222" i="38"/>
  <c r="K68" i="35"/>
  <c r="F365" i="38"/>
  <c r="H47" i="38"/>
  <c r="H48" i="38"/>
  <c r="J254" i="35"/>
  <c r="E45" i="38"/>
  <c r="N151" i="35"/>
  <c r="J173" i="35"/>
  <c r="F124" i="38"/>
  <c r="J175" i="35"/>
  <c r="N390" i="35"/>
  <c r="M44" i="35"/>
  <c r="M139" i="35"/>
  <c r="N300" i="35"/>
  <c r="F423" i="38"/>
  <c r="K16" i="37"/>
  <c r="D344" i="38"/>
  <c r="N368" i="35"/>
  <c r="N146" i="35"/>
  <c r="D209" i="38"/>
  <c r="D208" i="38"/>
  <c r="E49" i="38"/>
  <c r="M212" i="35"/>
  <c r="J419" i="38"/>
  <c r="F102" i="38"/>
  <c r="M266" i="35"/>
  <c r="D163" i="38"/>
  <c r="G438" i="38"/>
  <c r="J194" i="35"/>
  <c r="E151" i="38"/>
  <c r="M332" i="35"/>
  <c r="M11" i="37"/>
  <c r="K48" i="35"/>
  <c r="I422" i="38"/>
  <c r="N362" i="35"/>
  <c r="F4" i="38"/>
  <c r="H64" i="38"/>
  <c r="K418" i="38"/>
  <c r="E62" i="38"/>
  <c r="F320" i="38"/>
  <c r="N113" i="35"/>
  <c r="L16" i="37"/>
  <c r="N29" i="35"/>
  <c r="J279" i="35"/>
  <c r="N374" i="35"/>
  <c r="E137" i="38"/>
  <c r="K41" i="35"/>
  <c r="N144" i="35"/>
  <c r="H45" i="38"/>
  <c r="S11" i="37"/>
  <c r="J5" i="37"/>
  <c r="J174" i="35"/>
  <c r="D172" i="38"/>
  <c r="E287" i="38"/>
  <c r="K34" i="35"/>
  <c r="M180" i="35"/>
  <c r="J49" i="35"/>
  <c r="N435" i="38"/>
  <c r="K426" i="38"/>
  <c r="M218" i="35"/>
  <c r="J331" i="35"/>
  <c r="M170" i="35"/>
  <c r="K7" i="35"/>
  <c r="J51" i="35"/>
  <c r="N237" i="35"/>
  <c r="K60" i="35"/>
  <c r="M6" i="35"/>
  <c r="J241" i="35"/>
  <c r="D220" i="38"/>
  <c r="M255" i="35"/>
  <c r="D293" i="38"/>
  <c r="F396" i="38"/>
  <c r="G3" i="38"/>
  <c r="N233" i="35"/>
  <c r="N400" i="35"/>
  <c r="J234" i="35"/>
  <c r="E153" i="38"/>
  <c r="E295" i="38"/>
  <c r="D20" i="38"/>
  <c r="D165" i="38"/>
  <c r="L45" i="35"/>
  <c r="L120" i="35"/>
  <c r="N72" i="35"/>
  <c r="M101" i="35"/>
  <c r="D217" i="38"/>
  <c r="M352" i="35"/>
  <c r="G424" i="38"/>
  <c r="N366" i="35"/>
  <c r="N202" i="35"/>
  <c r="L52" i="35"/>
  <c r="L15" i="37"/>
  <c r="N182" i="35"/>
  <c r="N183" i="35"/>
  <c r="H18" i="38"/>
  <c r="L61" i="35"/>
  <c r="E68" i="38"/>
  <c r="E418" i="38"/>
  <c r="M341" i="35"/>
  <c r="F185" i="38"/>
  <c r="M71" i="35"/>
  <c r="E115" i="38"/>
  <c r="J179" i="35"/>
  <c r="M257" i="35"/>
  <c r="E291" i="38"/>
  <c r="M368" i="35"/>
  <c r="E147" i="38"/>
  <c r="K429" i="38"/>
  <c r="S16" i="37"/>
  <c r="N386" i="35"/>
  <c r="N163" i="35"/>
  <c r="E75" i="38"/>
  <c r="M21" i="37"/>
  <c r="D316" i="38"/>
  <c r="N311" i="35"/>
  <c r="N247" i="35"/>
  <c r="N16" i="35"/>
  <c r="H428" i="38"/>
  <c r="D304" i="38"/>
  <c r="N331" i="35"/>
  <c r="M277" i="35"/>
  <c r="E42" i="38"/>
  <c r="E86" i="38"/>
  <c r="F380" i="38"/>
  <c r="J220" i="35"/>
  <c r="J69" i="35"/>
  <c r="N321" i="35"/>
  <c r="L430" i="38"/>
  <c r="G440" i="38"/>
  <c r="M224" i="35"/>
  <c r="K42" i="35"/>
  <c r="K437" i="38"/>
  <c r="D315" i="38"/>
  <c r="N188" i="35"/>
  <c r="N244" i="35"/>
  <c r="N66" i="35"/>
  <c r="F321" i="38"/>
  <c r="E244" i="38"/>
  <c r="M324" i="35"/>
  <c r="O9" i="37"/>
  <c r="N377" i="35"/>
  <c r="N404" i="35"/>
  <c r="J232" i="35"/>
  <c r="S14" i="37"/>
  <c r="N319" i="35"/>
  <c r="H431" i="38"/>
  <c r="J149" i="35"/>
  <c r="E249" i="38"/>
  <c r="H2" i="38"/>
  <c r="M384" i="35"/>
  <c r="D10" i="38"/>
  <c r="D336" i="38"/>
  <c r="M234" i="35"/>
  <c r="N17" i="35"/>
  <c r="N76" i="35"/>
  <c r="G432" i="38"/>
  <c r="J56" i="35"/>
  <c r="K44" i="35"/>
  <c r="N289" i="35"/>
  <c r="N336" i="35"/>
  <c r="L421" i="38"/>
  <c r="E95" i="38"/>
  <c r="H42" i="38"/>
  <c r="J67" i="35"/>
  <c r="N5" i="37"/>
  <c r="D308" i="38"/>
  <c r="D251" i="38"/>
  <c r="J267" i="35"/>
  <c r="F17" i="38"/>
  <c r="M157" i="35"/>
  <c r="F405" i="38"/>
  <c r="M102" i="35"/>
  <c r="E274" i="38"/>
  <c r="D314" i="38"/>
  <c r="J166" i="35"/>
  <c r="J239" i="35"/>
  <c r="M364" i="35"/>
  <c r="K11" i="37"/>
  <c r="H34" i="38"/>
  <c r="F148" i="38"/>
  <c r="F310" i="38"/>
  <c r="F172" i="38"/>
  <c r="N57" i="35"/>
  <c r="H15" i="38"/>
  <c r="L3" i="35"/>
  <c r="E430" i="38"/>
  <c r="F433" i="38"/>
  <c r="M100" i="35"/>
  <c r="E261" i="38"/>
  <c r="D340" i="38"/>
  <c r="F106" i="38"/>
  <c r="N10" i="37"/>
  <c r="E433" i="38"/>
  <c r="J113" i="35"/>
  <c r="M265" i="35"/>
  <c r="N140" i="35"/>
  <c r="J114" i="35"/>
  <c r="E402" i="38"/>
  <c r="L117" i="35"/>
  <c r="J54" i="35"/>
  <c r="F411" i="38"/>
  <c r="F354" i="38"/>
  <c r="D206" i="38"/>
  <c r="J13" i="37"/>
  <c r="F416" i="38"/>
  <c r="M13" i="35"/>
  <c r="M355" i="35"/>
  <c r="J121" i="35"/>
  <c r="N10" i="35"/>
  <c r="J293" i="35"/>
  <c r="D149" i="38"/>
  <c r="L121" i="35"/>
  <c r="D147" i="38"/>
  <c r="J420" i="38"/>
  <c r="N49" i="35"/>
  <c r="J9" i="37"/>
  <c r="M333" i="35"/>
  <c r="J7" i="37"/>
  <c r="J155" i="35"/>
  <c r="F59" i="38"/>
  <c r="F350" i="38"/>
  <c r="K37" i="35"/>
  <c r="L422" i="38"/>
  <c r="M379" i="35"/>
  <c r="E114" i="38"/>
  <c r="G46" i="38"/>
  <c r="N161" i="35"/>
  <c r="L122" i="35"/>
  <c r="J190" i="35"/>
  <c r="E286" i="38"/>
  <c r="D341" i="38"/>
  <c r="F388" i="38"/>
  <c r="L66" i="35"/>
  <c r="O10" i="37"/>
  <c r="N136" i="35"/>
  <c r="N35" i="37"/>
  <c r="E204" i="38"/>
  <c r="F389" i="38"/>
  <c r="P23" i="37"/>
  <c r="N420" i="38"/>
  <c r="J437" i="38"/>
  <c r="E24" i="38"/>
  <c r="J247" i="35"/>
  <c r="K46" i="35"/>
  <c r="H46" i="38"/>
  <c r="D16" i="38"/>
  <c r="S13" i="37"/>
  <c r="D325" i="38"/>
  <c r="M99" i="35"/>
  <c r="M400" i="35"/>
  <c r="M232" i="35"/>
  <c r="E212" i="38"/>
  <c r="L30" i="35"/>
  <c r="F361" i="38"/>
  <c r="L77" i="35"/>
  <c r="M206" i="35"/>
  <c r="E234" i="38"/>
  <c r="E283" i="38"/>
  <c r="E198" i="38"/>
  <c r="G437" i="38"/>
  <c r="M353" i="35"/>
  <c r="J231" i="35"/>
  <c r="D248" i="38"/>
  <c r="N156" i="35"/>
  <c r="G29" i="38"/>
  <c r="N43" i="35"/>
  <c r="F382" i="38"/>
  <c r="M279" i="35"/>
  <c r="F430" i="38"/>
  <c r="M91" i="35"/>
  <c r="F178" i="38"/>
  <c r="N35" i="35"/>
  <c r="F164" i="38"/>
  <c r="N166" i="35"/>
  <c r="N257" i="35"/>
  <c r="L96" i="35"/>
  <c r="F194" i="38"/>
  <c r="N87" i="35"/>
  <c r="F104" i="38"/>
  <c r="L67" i="35"/>
  <c r="N402" i="35"/>
  <c r="J222" i="35"/>
  <c r="N290" i="35"/>
  <c r="N6" i="35"/>
  <c r="E87" i="38"/>
  <c r="L46" i="35"/>
  <c r="E233" i="38"/>
  <c r="G436" i="38"/>
  <c r="F195" i="38"/>
  <c r="N92" i="35"/>
  <c r="F141" i="38"/>
  <c r="N403" i="35"/>
  <c r="K28" i="35"/>
  <c r="F117" i="38"/>
  <c r="M163" i="35"/>
  <c r="E429" i="38"/>
  <c r="N80" i="35"/>
  <c r="E188" i="38"/>
  <c r="F67" i="38"/>
  <c r="D171" i="38"/>
  <c r="J223" i="35"/>
  <c r="J309" i="35"/>
  <c r="D327" i="38"/>
  <c r="J169" i="35"/>
  <c r="E156" i="38"/>
  <c r="J134" i="35"/>
  <c r="D330" i="38"/>
  <c r="M214" i="35"/>
  <c r="D2" i="38"/>
  <c r="J120" i="35"/>
  <c r="E412" i="38"/>
  <c r="M430" i="38"/>
  <c r="J130" i="35"/>
  <c r="N36" i="35"/>
  <c r="J55" i="35"/>
  <c r="N133" i="35"/>
  <c r="P5" i="37"/>
  <c r="M329" i="35"/>
  <c r="E43" i="38"/>
  <c r="F386" i="38"/>
  <c r="H54" i="38"/>
  <c r="M272" i="35"/>
  <c r="N149" i="35"/>
  <c r="G6" i="38"/>
  <c r="J115" i="35"/>
  <c r="J319" i="35"/>
  <c r="N417" i="38"/>
  <c r="D299" i="38"/>
  <c r="I428" i="38"/>
  <c r="M388" i="35"/>
  <c r="M322" i="35"/>
  <c r="N305" i="35"/>
  <c r="J181" i="35"/>
  <c r="L112" i="35"/>
  <c r="N242" i="35"/>
  <c r="G32" i="38"/>
  <c r="N15" i="35"/>
  <c r="H5" i="38"/>
  <c r="J340" i="35"/>
  <c r="D331" i="38"/>
  <c r="E31" i="38"/>
  <c r="N298" i="35"/>
  <c r="N259" i="35"/>
  <c r="N332" i="35"/>
  <c r="M200" i="35"/>
  <c r="F313" i="38"/>
  <c r="D348" i="38"/>
  <c r="F56" i="38"/>
  <c r="L439" i="38"/>
  <c r="M377" i="35"/>
  <c r="K4" i="35"/>
  <c r="F363" i="38"/>
  <c r="J48" i="35"/>
  <c r="E186" i="38"/>
  <c r="J107" i="35"/>
  <c r="N85" i="35"/>
  <c r="K53" i="35"/>
  <c r="S5" i="37"/>
  <c r="J304" i="35"/>
  <c r="F182" i="38"/>
  <c r="E438" i="38"/>
  <c r="L81" i="35"/>
  <c r="K57" i="35"/>
  <c r="M362" i="35"/>
  <c r="N365" i="35"/>
  <c r="L98" i="35"/>
  <c r="N281" i="35"/>
  <c r="E25" i="38"/>
  <c r="N295" i="35"/>
  <c r="E173" i="38"/>
  <c r="M11" i="35"/>
  <c r="H438" i="38"/>
  <c r="J154" i="35"/>
  <c r="Q7" i="37"/>
  <c r="H20" i="38"/>
  <c r="M286" i="35"/>
  <c r="F13" i="38"/>
  <c r="N224" i="35"/>
  <c r="N68" i="35"/>
  <c r="N255" i="35"/>
  <c r="J297" i="35"/>
  <c r="N115" i="35"/>
  <c r="F163" i="38"/>
  <c r="M3" i="37"/>
  <c r="J290" i="35"/>
  <c r="D240" i="38"/>
  <c r="I441" i="38"/>
  <c r="J82" i="35"/>
  <c r="J66" i="35"/>
  <c r="F174" i="38"/>
  <c r="L44" i="35"/>
  <c r="J320" i="35"/>
  <c r="D187" i="38"/>
  <c r="D191" i="38"/>
  <c r="P11" i="37"/>
  <c r="F147" i="38"/>
  <c r="D231" i="38"/>
  <c r="M191" i="35"/>
  <c r="L13" i="37"/>
  <c r="L80" i="35"/>
  <c r="J21" i="37"/>
  <c r="M225" i="35"/>
  <c r="N164" i="35"/>
  <c r="F351" i="38"/>
  <c r="E246" i="38"/>
  <c r="J95" i="35"/>
  <c r="L135" i="35"/>
  <c r="J229" i="35"/>
  <c r="E2" i="38"/>
  <c r="M83" i="35"/>
  <c r="J245" i="35"/>
  <c r="N406" i="35"/>
  <c r="K54" i="35"/>
  <c r="J438" i="38"/>
  <c r="N393" i="35"/>
  <c r="J28" i="37"/>
  <c r="M336" i="35"/>
  <c r="M40" i="35"/>
  <c r="M397" i="35"/>
  <c r="E203" i="38"/>
  <c r="E210" i="38"/>
  <c r="E177" i="38"/>
  <c r="J178" i="35"/>
  <c r="E410" i="38"/>
  <c r="H28" i="38"/>
  <c r="D189" i="38"/>
  <c r="L21" i="37"/>
  <c r="G441" i="38"/>
  <c r="F311" i="38"/>
  <c r="F168" i="38"/>
  <c r="I439" i="38"/>
  <c r="K423" i="38"/>
  <c r="N353" i="35"/>
  <c r="J38" i="35"/>
  <c r="F45" i="38"/>
  <c r="L49" i="35"/>
  <c r="N301" i="35"/>
  <c r="K5" i="35"/>
  <c r="M97" i="35"/>
  <c r="L27" i="35"/>
  <c r="H31" i="38"/>
  <c r="L36" i="35"/>
  <c r="J268" i="35"/>
  <c r="J123" i="35"/>
  <c r="M372" i="35"/>
  <c r="N221" i="35"/>
  <c r="F131" i="38"/>
  <c r="M365" i="35"/>
  <c r="L93" i="35"/>
  <c r="M351" i="35"/>
  <c r="N394" i="35"/>
  <c r="N204" i="35"/>
  <c r="N105" i="35"/>
  <c r="M253" i="35"/>
  <c r="J264" i="35"/>
  <c r="E272" i="38"/>
  <c r="M117" i="35"/>
  <c r="K433" i="38"/>
  <c r="G59" i="38"/>
  <c r="D175" i="38"/>
  <c r="S35" i="37"/>
  <c r="K441" i="38"/>
  <c r="G26" i="38"/>
  <c r="N51" i="35"/>
  <c r="J5" i="35"/>
  <c r="O13" i="37"/>
  <c r="M399" i="35"/>
  <c r="E134" i="38"/>
  <c r="M350" i="35"/>
  <c r="G13" i="38"/>
  <c r="F7" i="38"/>
  <c r="E182" i="38"/>
  <c r="K422" i="38"/>
  <c r="N154" i="35"/>
  <c r="N106" i="35"/>
  <c r="E34" i="38"/>
  <c r="J35" i="37"/>
  <c r="M79" i="35"/>
  <c r="G66" i="38"/>
  <c r="F349" i="38"/>
  <c r="N351" i="35"/>
  <c r="G20" i="38"/>
  <c r="F142" i="38"/>
  <c r="G47" i="38"/>
  <c r="E7" i="38"/>
  <c r="F373" i="38"/>
  <c r="D349" i="38"/>
  <c r="D196" i="38"/>
  <c r="J425" i="38"/>
  <c r="L107" i="35"/>
  <c r="K17" i="37"/>
  <c r="M38" i="35"/>
  <c r="N367" i="35"/>
  <c r="J64" i="35"/>
  <c r="G2" i="38"/>
  <c r="E140" i="38"/>
  <c r="N273" i="35"/>
  <c r="N45" i="35"/>
  <c r="E254" i="38"/>
  <c r="J139" i="35"/>
  <c r="M306" i="35"/>
  <c r="N191" i="35"/>
  <c r="N198" i="35"/>
  <c r="M338" i="35"/>
  <c r="L129" i="35"/>
  <c r="E409" i="38"/>
  <c r="E216" i="38"/>
  <c r="E3" i="38"/>
  <c r="J108" i="35"/>
  <c r="N75" i="35"/>
  <c r="F53" i="38"/>
  <c r="F90" i="38"/>
  <c r="J68" i="35"/>
  <c r="F145" i="38"/>
  <c r="E411" i="38"/>
  <c r="K22" i="35"/>
  <c r="E223" i="38"/>
  <c r="G434" i="38"/>
  <c r="L433" i="38"/>
  <c r="J271" i="35"/>
  <c r="D211" i="38"/>
  <c r="D250" i="38"/>
  <c r="N370" i="35"/>
  <c r="J436" i="38"/>
  <c r="J109" i="35"/>
  <c r="L101" i="35"/>
  <c r="L23" i="37"/>
  <c r="M103" i="35"/>
  <c r="E63" i="38"/>
  <c r="M184" i="35"/>
  <c r="D234" i="38"/>
  <c r="J417" i="38"/>
  <c r="N346" i="35"/>
  <c r="H7" i="38"/>
  <c r="J58" i="35"/>
  <c r="E169" i="38"/>
  <c r="E92" i="38"/>
  <c r="J10" i="37"/>
  <c r="L3" i="37"/>
  <c r="L26" i="35"/>
  <c r="N99" i="35"/>
  <c r="N357" i="35"/>
  <c r="N192" i="35"/>
  <c r="N234" i="35"/>
  <c r="D266" i="38"/>
  <c r="M345" i="35"/>
  <c r="N127" i="35"/>
  <c r="E184" i="38"/>
  <c r="H10" i="38"/>
  <c r="J225" i="35"/>
  <c r="F177" i="38"/>
  <c r="H59" i="38"/>
  <c r="N401" i="35"/>
  <c r="G65" i="38"/>
  <c r="M201" i="35"/>
  <c r="J284" i="35"/>
  <c r="E190" i="38"/>
  <c r="M21" i="35"/>
  <c r="K62" i="35"/>
  <c r="O7" i="37"/>
  <c r="M26" i="35"/>
  <c r="M366" i="35"/>
  <c r="M135" i="35"/>
  <c r="D323" i="38"/>
  <c r="J269" i="35"/>
  <c r="L10" i="37"/>
  <c r="F347" i="38"/>
  <c r="M403" i="35"/>
  <c r="M241" i="35"/>
  <c r="F19" i="38"/>
  <c r="L417" i="38"/>
  <c r="F415" i="38"/>
  <c r="Q5" i="37"/>
  <c r="M195" i="35"/>
  <c r="N200" i="35"/>
  <c r="O3" i="37"/>
  <c r="M129" i="35"/>
  <c r="E70" i="38"/>
  <c r="F123" i="38"/>
  <c r="F157" i="38"/>
  <c r="G419" i="38"/>
  <c r="M5" i="37"/>
  <c r="J160" i="35"/>
  <c r="M147" i="35"/>
  <c r="D285" i="38"/>
  <c r="N439" i="38"/>
  <c r="M27" i="35"/>
  <c r="J22" i="35"/>
  <c r="I430" i="38"/>
  <c r="E146" i="38"/>
  <c r="E142" i="38"/>
  <c r="M192" i="35"/>
  <c r="L34" i="35"/>
  <c r="E133" i="38"/>
  <c r="L108" i="35"/>
  <c r="M128" i="35"/>
  <c r="N226" i="35"/>
  <c r="E166" i="38"/>
  <c r="D204" i="38"/>
  <c r="J168" i="35"/>
  <c r="N271" i="35"/>
  <c r="J278" i="35"/>
  <c r="D212" i="38"/>
  <c r="M404" i="35"/>
  <c r="D307" i="38"/>
  <c r="N108" i="35"/>
  <c r="L420" i="38"/>
  <c r="L94" i="35"/>
  <c r="F176" i="38"/>
  <c r="N265" i="35"/>
  <c r="F344" i="38"/>
  <c r="D289" i="38"/>
  <c r="J272" i="35"/>
  <c r="N330" i="35"/>
  <c r="J157" i="35"/>
  <c r="K21" i="37"/>
  <c r="M52" i="35"/>
  <c r="G50" i="38"/>
  <c r="E209" i="38"/>
  <c r="N6" i="37"/>
  <c r="F387" i="38"/>
  <c r="N93" i="35"/>
  <c r="J191" i="35"/>
  <c r="J422" i="38"/>
  <c r="N50" i="35"/>
  <c r="N62" i="35"/>
  <c r="L431" i="38"/>
  <c r="L100" i="35"/>
  <c r="N177" i="35"/>
  <c r="E250" i="38"/>
  <c r="M226" i="35"/>
  <c r="M357" i="35"/>
  <c r="E127" i="38"/>
  <c r="M63" i="35"/>
  <c r="F10" i="38"/>
  <c r="N97" i="35"/>
  <c r="E13" i="38"/>
  <c r="N276" i="35"/>
  <c r="J140" i="35"/>
  <c r="D272" i="38"/>
  <c r="N210" i="35"/>
  <c r="J180" i="35"/>
  <c r="F413" i="38"/>
  <c r="D146" i="38"/>
  <c r="J205" i="35"/>
  <c r="E201" i="38"/>
  <c r="E117" i="38"/>
  <c r="M282" i="35"/>
  <c r="J228" i="35"/>
  <c r="H61" i="38"/>
  <c r="L109" i="35"/>
  <c r="J303" i="35"/>
  <c r="J39" i="35"/>
  <c r="M354" i="35"/>
  <c r="N39" i="35"/>
  <c r="J265" i="35"/>
  <c r="N186" i="35"/>
  <c r="N73" i="35"/>
  <c r="M155" i="35"/>
  <c r="N308" i="35"/>
  <c r="M124" i="35"/>
  <c r="K50" i="35"/>
  <c r="F187" i="38"/>
  <c r="N294" i="35"/>
  <c r="N152" i="35"/>
  <c r="M25" i="35"/>
  <c r="N131" i="35"/>
  <c r="F37" i="38"/>
  <c r="N90" i="35"/>
  <c r="E136" i="38"/>
  <c r="E178" i="38"/>
  <c r="H38" i="38"/>
  <c r="N42" i="35"/>
  <c r="M73" i="35"/>
  <c r="M115" i="35"/>
  <c r="J283" i="35"/>
  <c r="E51" i="38"/>
  <c r="N267" i="35"/>
  <c r="Q19" i="37"/>
  <c r="N275" i="35"/>
  <c r="E229" i="38"/>
  <c r="L14" i="37"/>
  <c r="F150" i="38"/>
  <c r="E116" i="38"/>
  <c r="H21" i="38"/>
  <c r="E262" i="38"/>
  <c r="J301" i="35"/>
  <c r="M312" i="35"/>
  <c r="F333" i="38"/>
  <c r="M344" i="35"/>
  <c r="J23" i="37"/>
  <c r="J332" i="35"/>
  <c r="F28" i="38"/>
  <c r="O23" i="37"/>
  <c r="L32" i="35"/>
  <c r="N187" i="35"/>
  <c r="F2" i="38"/>
  <c r="J36" i="35"/>
  <c r="J212" i="35"/>
  <c r="N206" i="35"/>
  <c r="M386" i="35"/>
  <c r="M381" i="35"/>
  <c r="N348" i="35"/>
  <c r="F153" i="38"/>
  <c r="E171" i="38"/>
  <c r="H14" i="38"/>
  <c r="J78" i="35"/>
  <c r="H421" i="38"/>
  <c r="E9" i="38"/>
  <c r="G10" i="38"/>
  <c r="K6" i="37"/>
  <c r="M308" i="35"/>
  <c r="J24" i="35"/>
  <c r="N102" i="35"/>
  <c r="M243" i="35"/>
  <c r="J423" i="38"/>
  <c r="G17" i="38"/>
  <c r="F115" i="38"/>
  <c r="F119" i="38"/>
  <c r="J244" i="35"/>
  <c r="M77" i="35"/>
  <c r="M179" i="35"/>
  <c r="E194" i="38"/>
  <c r="M363" i="35"/>
  <c r="E417" i="38"/>
  <c r="E91" i="38"/>
  <c r="G56" i="38"/>
  <c r="F391" i="38"/>
  <c r="N268" i="35"/>
  <c r="J250" i="35"/>
  <c r="N323" i="35"/>
  <c r="F312" i="38"/>
  <c r="L11" i="35"/>
  <c r="F401" i="38"/>
  <c r="G68" i="38"/>
  <c r="D193" i="38"/>
  <c r="F87" i="38"/>
  <c r="F65" i="38"/>
  <c r="E426" i="38"/>
  <c r="N426" i="38"/>
  <c r="J252" i="35"/>
  <c r="J313" i="35"/>
  <c r="F337" i="38"/>
  <c r="M420" i="38"/>
  <c r="F314" i="38"/>
  <c r="D167" i="38"/>
  <c r="D326" i="38"/>
  <c r="R17" i="37"/>
  <c r="N158" i="35"/>
  <c r="J208" i="35"/>
  <c r="E120" i="38"/>
  <c r="E208" i="38"/>
  <c r="L35" i="37"/>
  <c r="E96" i="38"/>
  <c r="D230" i="38"/>
  <c r="N385" i="35"/>
  <c r="J314" i="35"/>
  <c r="M407" i="35"/>
  <c r="M335" i="35"/>
  <c r="F89" i="38"/>
  <c r="J31" i="35"/>
  <c r="D339" i="38"/>
  <c r="G8" i="38"/>
  <c r="D291" i="38"/>
  <c r="D183" i="38"/>
  <c r="F26" i="38"/>
  <c r="M269" i="35"/>
  <c r="E119" i="38"/>
  <c r="H441" i="38"/>
  <c r="L118" i="35"/>
  <c r="N95" i="35"/>
  <c r="F440" i="38"/>
  <c r="E407" i="38"/>
  <c r="F368" i="38"/>
  <c r="I437" i="38"/>
  <c r="H433" i="38"/>
  <c r="N134" i="35"/>
  <c r="E17" i="38"/>
  <c r="M67" i="35"/>
  <c r="J26" i="35"/>
  <c r="F83" i="38"/>
  <c r="N312" i="35"/>
  <c r="D202" i="38"/>
  <c r="J37" i="35"/>
  <c r="M98" i="35"/>
  <c r="F370" i="38"/>
  <c r="D139" i="38"/>
  <c r="D199" i="38"/>
  <c r="I419" i="38"/>
  <c r="L9" i="35"/>
  <c r="J291" i="35"/>
  <c r="F155" i="38"/>
  <c r="F328" i="38"/>
  <c r="N81" i="35"/>
  <c r="G429" i="38"/>
  <c r="L37" i="35"/>
  <c r="N170" i="35"/>
  <c r="E230" i="38"/>
  <c r="N53" i="35"/>
  <c r="F402" i="38"/>
  <c r="M331" i="35"/>
  <c r="E180" i="38"/>
  <c r="E176" i="38"/>
  <c r="G4" i="38"/>
  <c r="J335" i="35"/>
  <c r="M436" i="38"/>
  <c r="E163" i="38"/>
  <c r="K417" i="38"/>
  <c r="F121" i="38"/>
  <c r="J299" i="35"/>
  <c r="P13" i="37"/>
  <c r="J217" i="35"/>
  <c r="J62" i="35"/>
  <c r="E258" i="38"/>
  <c r="M342" i="35"/>
  <c r="N334" i="35"/>
  <c r="F397" i="38"/>
  <c r="D198" i="38"/>
  <c r="E4" i="38"/>
  <c r="L111" i="35"/>
  <c r="M426" i="38"/>
  <c r="N150" i="35"/>
  <c r="J192" i="35"/>
  <c r="F424" i="38"/>
  <c r="N96" i="35"/>
  <c r="D252" i="38"/>
  <c r="F319" i="38"/>
  <c r="N135" i="35"/>
  <c r="N218" i="35"/>
  <c r="K32" i="35"/>
  <c r="F74" i="38"/>
  <c r="N94" i="35"/>
  <c r="J15" i="35"/>
  <c r="K36" i="35"/>
  <c r="J84" i="35"/>
  <c r="M12" i="35"/>
  <c r="K26" i="35"/>
  <c r="E94" i="38"/>
  <c r="M174" i="35"/>
  <c r="L102" i="35"/>
  <c r="E22" i="38"/>
  <c r="N21" i="37"/>
  <c r="E168" i="38"/>
  <c r="F428" i="38"/>
  <c r="M301" i="35"/>
  <c r="M359" i="35"/>
  <c r="G422" i="38"/>
  <c r="E269" i="38"/>
  <c r="M146" i="35"/>
  <c r="M239" i="35"/>
  <c r="F139" i="38"/>
  <c r="J11" i="37"/>
  <c r="L38" i="35"/>
  <c r="D295" i="38"/>
  <c r="D239" i="38"/>
  <c r="N229" i="35"/>
  <c r="N193" i="35"/>
  <c r="E179" i="38"/>
  <c r="F29" i="38"/>
  <c r="R13" i="37"/>
  <c r="J171" i="35"/>
  <c r="L59" i="35"/>
  <c r="G31" i="38"/>
  <c r="J218" i="35"/>
  <c r="N207" i="35"/>
  <c r="D265" i="38"/>
  <c r="M47" i="35"/>
  <c r="F38" i="38"/>
  <c r="R16" i="37"/>
  <c r="F362" i="38"/>
  <c r="D140" i="38"/>
  <c r="E123" i="38"/>
  <c r="E252" i="38"/>
  <c r="N162" i="35"/>
  <c r="L87" i="35"/>
  <c r="J133" i="35"/>
  <c r="N125" i="35"/>
  <c r="J45" i="35"/>
  <c r="N48" i="35"/>
  <c r="E256" i="38"/>
  <c r="L432" i="38"/>
  <c r="J327" i="35"/>
  <c r="H63" i="38"/>
  <c r="D150" i="38"/>
  <c r="F107" i="38"/>
  <c r="H33" i="38"/>
  <c r="G5" i="38"/>
  <c r="L83" i="35"/>
  <c r="L82" i="35"/>
  <c r="L125" i="35"/>
  <c r="F325" i="38"/>
  <c r="N269" i="35"/>
  <c r="N167" i="35"/>
  <c r="D176" i="38"/>
  <c r="D328" i="38"/>
  <c r="N399" i="35"/>
  <c r="D280" i="38"/>
  <c r="M140" i="35"/>
  <c r="J421" i="38"/>
  <c r="F80" i="38"/>
  <c r="M48" i="35"/>
  <c r="N117" i="35"/>
  <c r="J111" i="35"/>
  <c r="J59" i="35"/>
  <c r="D303" i="38"/>
  <c r="E174" i="38"/>
  <c r="D6" i="38"/>
  <c r="D170" i="38"/>
  <c r="N423" i="38"/>
  <c r="K434" i="38"/>
  <c r="F341" i="38"/>
  <c r="M3" i="35"/>
  <c r="J9" i="35"/>
  <c r="N250" i="35"/>
  <c r="F439" i="38"/>
  <c r="N178" i="35"/>
  <c r="L424" i="38"/>
  <c r="H9" i="38"/>
  <c r="J162" i="35"/>
  <c r="N262" i="35"/>
  <c r="D221" i="38"/>
  <c r="M323" i="35"/>
  <c r="M419" i="38"/>
  <c r="I432" i="38"/>
  <c r="M334" i="35"/>
  <c r="M15" i="35"/>
  <c r="Q17" i="37"/>
  <c r="F126" i="38"/>
  <c r="M256" i="35"/>
  <c r="J310" i="35"/>
  <c r="I438" i="38"/>
  <c r="E74" i="38"/>
  <c r="D169" i="38"/>
  <c r="M196" i="35"/>
  <c r="F46" i="38"/>
  <c r="R15" i="37"/>
  <c r="H437" i="38"/>
  <c r="M309" i="35"/>
  <c r="L7" i="37"/>
  <c r="G38" i="38"/>
  <c r="M217" i="35"/>
  <c r="K12" i="35"/>
  <c r="D201" i="38"/>
  <c r="K38" i="35"/>
  <c r="R21" i="37"/>
  <c r="M393" i="35"/>
  <c r="L10" i="35"/>
  <c r="M186" i="35"/>
  <c r="F75" i="38"/>
  <c r="E253" i="38"/>
  <c r="N279" i="35"/>
  <c r="D281" i="38"/>
  <c r="L5" i="35"/>
  <c r="D333" i="38"/>
  <c r="J8" i="35"/>
  <c r="E196" i="38"/>
  <c r="J296" i="35"/>
  <c r="N116" i="35"/>
  <c r="N147" i="35"/>
  <c r="M398" i="35"/>
  <c r="N425" i="38"/>
  <c r="D194" i="38"/>
  <c r="M185" i="35"/>
  <c r="E47" i="38"/>
  <c r="K39" i="35"/>
  <c r="G9" i="38"/>
  <c r="M291" i="35"/>
  <c r="J43" i="35"/>
  <c r="F11" i="38"/>
  <c r="N180" i="35"/>
  <c r="F166" i="38"/>
  <c r="K438" i="38"/>
  <c r="N344" i="35"/>
  <c r="E157" i="38"/>
  <c r="E10" i="38"/>
  <c r="F375" i="38"/>
  <c r="K55" i="35"/>
  <c r="J105" i="35"/>
  <c r="I440" i="38"/>
  <c r="R5" i="37"/>
  <c r="G433" i="38"/>
  <c r="J53" i="35"/>
  <c r="K424" i="38"/>
  <c r="E228" i="38"/>
  <c r="M51" i="35"/>
  <c r="J122" i="35"/>
  <c r="J185" i="35"/>
  <c r="M302" i="35"/>
  <c r="P6" i="37"/>
  <c r="N383" i="35"/>
  <c r="F184" i="38"/>
  <c r="M318" i="35"/>
  <c r="E240" i="38"/>
  <c r="J227" i="35"/>
  <c r="J337" i="35"/>
  <c r="F18" i="38"/>
  <c r="N428" i="38"/>
  <c r="J221" i="35"/>
  <c r="N155" i="35"/>
  <c r="D182" i="38"/>
  <c r="N337" i="35"/>
  <c r="L71" i="35"/>
  <c r="N317" i="35"/>
  <c r="M382" i="35"/>
  <c r="E112" i="38"/>
  <c r="G24" i="38"/>
  <c r="J34" i="35"/>
  <c r="J76" i="35"/>
  <c r="G67" i="38"/>
  <c r="H56" i="38"/>
  <c r="J287" i="35"/>
  <c r="F353" i="38"/>
  <c r="D319" i="38"/>
  <c r="J83" i="35"/>
  <c r="M300" i="35"/>
  <c r="E118" i="38"/>
  <c r="Q35" i="37"/>
  <c r="D213" i="38"/>
  <c r="E130" i="38"/>
  <c r="N326" i="35"/>
  <c r="M287" i="35"/>
  <c r="P35" i="37"/>
  <c r="M85" i="35"/>
  <c r="N270" i="35"/>
  <c r="M60" i="35"/>
  <c r="F335" i="38"/>
  <c r="M138" i="35"/>
  <c r="K420" i="38"/>
  <c r="J286" i="35"/>
  <c r="E82" i="38"/>
  <c r="N20" i="35"/>
  <c r="E164" i="38"/>
  <c r="N114" i="35"/>
  <c r="F420" i="38"/>
  <c r="F199" i="38"/>
  <c r="D14" i="38"/>
  <c r="M220" i="35"/>
  <c r="F345" i="38"/>
  <c r="J2" i="35"/>
  <c r="M375" i="35"/>
  <c r="F50" i="38"/>
  <c r="M261" i="35"/>
  <c r="J282" i="35"/>
  <c r="N137" i="35"/>
  <c r="M330" i="35"/>
  <c r="E270" i="38"/>
  <c r="J99" i="35"/>
  <c r="M396" i="35"/>
  <c r="K17" i="35"/>
  <c r="D157" i="38"/>
  <c r="I424" i="38"/>
  <c r="J201" i="35"/>
  <c r="M86" i="35"/>
  <c r="E104" i="38"/>
  <c r="N243" i="35"/>
  <c r="G39" i="38"/>
  <c r="J266" i="35"/>
  <c r="M9" i="37"/>
  <c r="E108" i="38"/>
  <c r="L8" i="35"/>
  <c r="N82" i="35"/>
  <c r="M385" i="35"/>
  <c r="M204" i="35"/>
  <c r="L13" i="35"/>
  <c r="H435" i="38"/>
  <c r="F8" i="38"/>
  <c r="E100" i="38"/>
  <c r="J430" i="38"/>
  <c r="N249" i="35"/>
  <c r="N372" i="35"/>
  <c r="E65" i="38"/>
  <c r="L435" i="38"/>
  <c r="N227" i="35"/>
  <c r="J341" i="35"/>
  <c r="S15" i="37"/>
  <c r="L436" i="38"/>
  <c r="M9" i="35"/>
  <c r="M107" i="35"/>
  <c r="J41" i="35"/>
  <c r="E405" i="38"/>
  <c r="H30" i="38"/>
  <c r="G19" i="38"/>
  <c r="K58" i="35"/>
  <c r="H430" i="38"/>
  <c r="M313" i="35"/>
  <c r="J14" i="37"/>
  <c r="K3" i="37"/>
  <c r="M151" i="35"/>
  <c r="H440" i="38"/>
  <c r="J106" i="35"/>
  <c r="F100" i="38"/>
  <c r="J202" i="35"/>
  <c r="J74" i="35"/>
  <c r="J118" i="35"/>
  <c r="K33" i="35"/>
  <c r="S19" i="37"/>
  <c r="E5" i="38"/>
  <c r="M263" i="35"/>
  <c r="N7" i="35"/>
  <c r="J280" i="35"/>
  <c r="E76" i="38"/>
  <c r="N168" i="35"/>
  <c r="H426" i="38"/>
  <c r="M35" i="37"/>
  <c r="G11" i="38"/>
  <c r="L103" i="35"/>
  <c r="N230" i="35"/>
  <c r="L127" i="35"/>
  <c r="J11" i="35"/>
  <c r="G439" i="38"/>
  <c r="G60" i="38"/>
  <c r="E59" i="38"/>
  <c r="J40" i="35"/>
  <c r="L73" i="35"/>
  <c r="J426" i="38"/>
  <c r="N396" i="35"/>
  <c r="H8" i="38"/>
  <c r="N101" i="35"/>
  <c r="F393" i="38"/>
  <c r="D267" i="38"/>
  <c r="Q16" i="37"/>
  <c r="L11" i="37"/>
  <c r="F42" i="38"/>
  <c r="D222" i="38"/>
  <c r="F441" i="38"/>
  <c r="M405" i="35"/>
  <c r="N67" i="35"/>
  <c r="J128" i="35"/>
  <c r="J424" i="38"/>
  <c r="I421" i="38"/>
  <c r="N63" i="35"/>
  <c r="M158" i="35"/>
  <c r="J325" i="35"/>
  <c r="N364" i="35"/>
  <c r="H39" i="38"/>
  <c r="J203" i="35"/>
  <c r="N318" i="35"/>
  <c r="F169" i="38"/>
  <c r="F366" i="38"/>
  <c r="H425" i="38"/>
  <c r="M150" i="35"/>
  <c r="L119" i="35"/>
  <c r="K8" i="35"/>
  <c r="F384" i="38"/>
  <c r="J19" i="37"/>
  <c r="F429" i="38"/>
  <c r="F367" i="38"/>
  <c r="J240" i="35"/>
  <c r="E56" i="38"/>
  <c r="F97" i="38"/>
  <c r="M395" i="35"/>
  <c r="H4" i="38"/>
  <c r="O21" i="37"/>
  <c r="N405" i="35"/>
  <c r="N148" i="35"/>
  <c r="N293" i="35"/>
  <c r="F84" i="38"/>
  <c r="M244" i="35"/>
  <c r="N169" i="35"/>
  <c r="M46" i="35"/>
  <c r="K427" i="38"/>
  <c r="F143" i="38"/>
  <c r="N142" i="35"/>
  <c r="J249" i="35"/>
  <c r="J17" i="35"/>
  <c r="F20" i="38"/>
  <c r="M106" i="35"/>
  <c r="M87" i="35"/>
  <c r="M349" i="35"/>
  <c r="L110" i="35"/>
  <c r="F383" i="38"/>
  <c r="K23" i="35"/>
  <c r="L89" i="35"/>
  <c r="F406" i="38"/>
  <c r="N4" i="35"/>
  <c r="F128" i="38"/>
  <c r="E280" i="38"/>
  <c r="D15" i="38"/>
  <c r="J199" i="35"/>
  <c r="F438" i="38"/>
  <c r="M167" i="35"/>
  <c r="N389" i="35"/>
  <c r="N291" i="35"/>
  <c r="M34" i="35"/>
  <c r="L31" i="35"/>
  <c r="D185" i="38"/>
  <c r="M233" i="35"/>
  <c r="O35" i="37"/>
  <c r="E58" i="38"/>
  <c r="J151" i="35"/>
  <c r="G23" i="38"/>
  <c r="N122" i="35"/>
  <c r="Q11" i="37"/>
  <c r="D180" i="38"/>
  <c r="K9" i="37"/>
  <c r="E132" i="38"/>
  <c r="D256" i="38"/>
  <c r="E237" i="38"/>
  <c r="H55" i="38"/>
  <c r="G41" i="38"/>
  <c r="G53" i="38"/>
  <c r="D151" i="38"/>
  <c r="J143" i="35"/>
  <c r="J273" i="35"/>
  <c r="J6" i="35"/>
  <c r="D313" i="38"/>
  <c r="E161" i="38"/>
  <c r="M267" i="35"/>
  <c r="D152" i="38"/>
  <c r="M141" i="35"/>
  <c r="M276" i="35"/>
  <c r="D273" i="38"/>
  <c r="F159" i="38"/>
  <c r="M154" i="35"/>
  <c r="L20" i="35"/>
  <c r="F108" i="38"/>
  <c r="D284" i="38"/>
  <c r="M188" i="35"/>
  <c r="F27" i="38"/>
  <c r="N84" i="35"/>
  <c r="E199" i="38"/>
  <c r="N37" i="35"/>
  <c r="N373" i="35"/>
  <c r="F394" i="38"/>
  <c r="N418" i="38"/>
  <c r="E167" i="38"/>
  <c r="J126" i="35"/>
  <c r="J71" i="35"/>
  <c r="E44" i="38"/>
  <c r="F378" i="38"/>
  <c r="D179" i="38"/>
  <c r="N138" i="35"/>
  <c r="H66" i="38"/>
  <c r="L39" i="35"/>
  <c r="N22" i="35"/>
  <c r="D205" i="38"/>
  <c r="K35" i="35"/>
  <c r="N397" i="35"/>
  <c r="F198" i="38"/>
  <c r="M173" i="35"/>
  <c r="N197" i="35"/>
  <c r="F165" i="38"/>
  <c r="D278" i="38"/>
  <c r="E175" i="38"/>
  <c r="E408" i="38"/>
  <c r="D229" i="38"/>
  <c r="G421" i="38"/>
  <c r="D17" i="38"/>
  <c r="E124" i="38"/>
  <c r="G48" i="38"/>
  <c r="E422" i="38"/>
  <c r="H16" i="38"/>
  <c r="E126" i="38"/>
  <c r="N292" i="35"/>
  <c r="F377" i="38"/>
  <c r="J306" i="35"/>
  <c r="M119" i="35"/>
  <c r="M229" i="35"/>
  <c r="J92" i="35"/>
  <c r="N126" i="35"/>
  <c r="F173" i="38"/>
  <c r="Q3" i="37"/>
  <c r="J29" i="37"/>
  <c r="J148" i="35"/>
  <c r="N363" i="35"/>
  <c r="J248" i="35"/>
  <c r="L115" i="35"/>
  <c r="L15" i="35"/>
  <c r="F103" i="38"/>
  <c r="J300" i="35"/>
  <c r="N24" i="35"/>
  <c r="G42" i="38"/>
  <c r="F118" i="38"/>
  <c r="F114" i="38"/>
  <c r="J334" i="35"/>
  <c r="M202" i="35"/>
  <c r="F340" i="38"/>
  <c r="E18" i="38"/>
  <c r="N232" i="35"/>
  <c r="F330" i="38"/>
  <c r="D298" i="38"/>
  <c r="M93" i="35"/>
  <c r="M228" i="35"/>
  <c r="J207" i="35"/>
  <c r="F301" i="38"/>
  <c r="F355" i="38"/>
  <c r="J158" i="35"/>
  <c r="H58" i="38"/>
  <c r="L58" i="35"/>
  <c r="J289" i="35"/>
  <c r="M7" i="35"/>
  <c r="H422" i="38"/>
  <c r="E61" i="38"/>
  <c r="N30" i="35"/>
  <c r="N335" i="35"/>
  <c r="E265" i="38"/>
  <c r="G44" i="38"/>
  <c r="E158" i="38"/>
  <c r="J25" i="35"/>
  <c r="J18" i="35"/>
  <c r="M59" i="35"/>
  <c r="I427" i="38"/>
  <c r="E66" i="38"/>
  <c r="M360" i="35"/>
  <c r="E224" i="38"/>
  <c r="N21" i="35"/>
  <c r="F436" i="38"/>
  <c r="F408" i="38"/>
  <c r="J197" i="35"/>
  <c r="N310" i="35"/>
  <c r="F329" i="38"/>
  <c r="M108" i="35"/>
  <c r="D245" i="38"/>
  <c r="J156" i="35"/>
  <c r="M280" i="35"/>
  <c r="F44" i="38"/>
  <c r="N314" i="35"/>
  <c r="S10" i="37"/>
  <c r="D305" i="38"/>
  <c r="K11" i="35"/>
  <c r="N171" i="35"/>
  <c r="M183" i="35"/>
  <c r="L92" i="35"/>
  <c r="O11" i="37"/>
  <c r="E218" i="38"/>
  <c r="K23" i="37"/>
  <c r="M80" i="35"/>
  <c r="H49" i="38"/>
  <c r="D11" i="38"/>
  <c r="N369" i="35"/>
  <c r="I417" i="38"/>
  <c r="H52" i="38"/>
  <c r="D142" i="38"/>
  <c r="F6" i="38"/>
  <c r="D262" i="38"/>
  <c r="E247" i="38"/>
  <c r="N248" i="35"/>
  <c r="J236" i="35"/>
  <c r="G22" i="38"/>
  <c r="J209" i="35"/>
  <c r="F170" i="38"/>
  <c r="M95" i="35"/>
  <c r="F412" i="38"/>
  <c r="M23" i="35"/>
  <c r="M394" i="35"/>
  <c r="J30" i="35"/>
  <c r="E428" i="38"/>
  <c r="K64" i="35"/>
  <c r="N260" i="35"/>
  <c r="F73" i="38"/>
  <c r="H44" i="38"/>
  <c r="K29" i="35"/>
  <c r="N333" i="35"/>
  <c r="J147" i="35"/>
  <c r="J153" i="35"/>
  <c r="D192" i="38"/>
  <c r="F425" i="38"/>
  <c r="G27" i="38"/>
  <c r="M74" i="35"/>
  <c r="L86" i="35"/>
  <c r="J435" i="38"/>
  <c r="E200" i="38"/>
  <c r="D258" i="38"/>
  <c r="E193" i="38"/>
  <c r="E64" i="38"/>
  <c r="F348" i="38"/>
  <c r="F315" i="38"/>
  <c r="D160" i="38"/>
  <c r="J237" i="35"/>
  <c r="J302" i="35"/>
  <c r="F417" i="38"/>
  <c r="M387" i="35"/>
  <c r="L114" i="35"/>
  <c r="J256" i="35"/>
  <c r="D335" i="38"/>
  <c r="L441" i="38"/>
  <c r="F385" i="38"/>
  <c r="E40" i="38"/>
  <c r="D173" i="38"/>
  <c r="F32" i="38"/>
  <c r="E238" i="38"/>
  <c r="F358" i="38"/>
  <c r="H3" i="38"/>
  <c r="E54" i="38"/>
  <c r="E419" i="38"/>
  <c r="K436" i="38"/>
  <c r="J333" i="35"/>
  <c r="M434" i="38"/>
  <c r="E106" i="38"/>
  <c r="H420" i="38"/>
  <c r="M4" i="35"/>
  <c r="F23" i="38"/>
  <c r="D215" i="38"/>
  <c r="E30" i="38"/>
  <c r="L97" i="35"/>
  <c r="D195" i="38"/>
  <c r="E138" i="38"/>
  <c r="N54" i="35"/>
  <c r="E15" i="38"/>
  <c r="M123" i="35"/>
  <c r="L76" i="35"/>
  <c r="E264" i="38"/>
  <c r="J318" i="35"/>
  <c r="N195" i="35"/>
  <c r="J28" i="35"/>
  <c r="F332" i="38"/>
  <c r="N40" i="35"/>
  <c r="J433" i="38"/>
  <c r="R11" i="37"/>
  <c r="J184" i="35"/>
  <c r="P21" i="37"/>
  <c r="E181" i="38"/>
  <c r="E50" i="38"/>
  <c r="N2" i="35"/>
  <c r="M435" i="38"/>
  <c r="F359" i="38"/>
  <c r="L50" i="35"/>
  <c r="E149" i="38"/>
  <c r="M160" i="35"/>
  <c r="K59" i="35"/>
  <c r="N284" i="35"/>
  <c r="P16" i="37"/>
  <c r="J161" i="35"/>
  <c r="E93" i="38"/>
  <c r="J242" i="35"/>
  <c r="J137" i="35"/>
  <c r="J23" i="35"/>
  <c r="J89" i="35"/>
  <c r="D8" i="38"/>
  <c r="N434" i="38"/>
  <c r="F91" i="38"/>
  <c r="F135" i="38"/>
  <c r="N246" i="35"/>
  <c r="N7" i="37"/>
  <c r="J200" i="35"/>
  <c r="L60" i="35"/>
  <c r="N256" i="35"/>
  <c r="E214" i="38"/>
  <c r="M19" i="37"/>
  <c r="H17" i="38"/>
  <c r="E131" i="38"/>
  <c r="L123" i="35"/>
  <c r="N118" i="35"/>
  <c r="L419" i="38"/>
  <c r="N241" i="35"/>
  <c r="P19" i="37"/>
  <c r="N55" i="35"/>
  <c r="F129" i="38"/>
  <c r="D177" i="38"/>
  <c r="J10" i="35"/>
  <c r="J243" i="35"/>
  <c r="N380" i="35"/>
  <c r="N431" i="38"/>
  <c r="E289" i="38"/>
  <c r="G33" i="38"/>
  <c r="S23" i="37"/>
  <c r="M418" i="38"/>
  <c r="F48" i="38"/>
  <c r="D224" i="38"/>
  <c r="K439" i="38"/>
  <c r="D261" i="38"/>
  <c r="Q15" i="37"/>
  <c r="N103" i="35"/>
  <c r="J418" i="38"/>
  <c r="D338" i="38"/>
  <c r="J27" i="37"/>
  <c r="M198" i="35"/>
  <c r="M222" i="35"/>
  <c r="D334" i="38"/>
  <c r="D246" i="38"/>
  <c r="J104" i="35"/>
  <c r="D4" i="38"/>
  <c r="J317" i="35"/>
  <c r="M104" i="35"/>
  <c r="Q9" i="37"/>
  <c r="M5" i="35"/>
  <c r="S17" i="37"/>
  <c r="J3" i="37"/>
  <c r="K30" i="35"/>
  <c r="E129" i="38"/>
  <c r="J336" i="35"/>
  <c r="E111" i="38"/>
  <c r="H11" i="38"/>
  <c r="J164" i="35"/>
  <c r="N287" i="35"/>
  <c r="K40" i="35"/>
  <c r="J195" i="35"/>
  <c r="N145" i="35"/>
  <c r="D292" i="38"/>
  <c r="J27" i="35"/>
  <c r="F151" i="38"/>
  <c r="J262" i="35"/>
  <c r="M43" i="35"/>
  <c r="N280" i="35"/>
  <c r="J215" i="35"/>
  <c r="F14" i="38"/>
  <c r="M13" i="37"/>
  <c r="D342" i="38"/>
  <c r="N213" i="35"/>
  <c r="M390" i="35"/>
  <c r="D259" i="38"/>
  <c r="F339" i="38"/>
  <c r="N34" i="35"/>
  <c r="F47" i="38"/>
  <c r="S21" i="37"/>
  <c r="M94" i="35"/>
  <c r="E6" i="38"/>
  <c r="H41" i="38"/>
  <c r="K25" i="35"/>
  <c r="H22" i="38"/>
  <c r="D7" i="38"/>
  <c r="J276" i="35"/>
  <c r="N38" i="35"/>
  <c r="R10" i="37"/>
  <c r="N165" i="35"/>
  <c r="E162" i="38"/>
  <c r="M402" i="35"/>
  <c r="J79" i="35"/>
  <c r="F334" i="38"/>
  <c r="J427" i="38"/>
  <c r="D238" i="38"/>
  <c r="F109" i="38"/>
  <c r="N225" i="35"/>
  <c r="D242" i="38"/>
  <c r="E259" i="38"/>
  <c r="D274" i="38"/>
  <c r="K425" i="38"/>
  <c r="N338" i="35"/>
  <c r="M307" i="35"/>
  <c r="L74" i="35"/>
  <c r="R6" i="37"/>
  <c r="M327" i="35"/>
  <c r="D279" i="38"/>
  <c r="M89" i="35"/>
  <c r="L4" i="35"/>
  <c r="M343" i="35"/>
  <c r="M373" i="35"/>
  <c r="E220" i="38"/>
  <c r="M285" i="35"/>
  <c r="E205" i="38"/>
  <c r="D3" i="38"/>
  <c r="K18" i="35"/>
  <c r="E296" i="38"/>
  <c r="D263"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<sst xmlns="http://schemas.openxmlformats.org/spreadsheetml/2006/main" count="4798" uniqueCount="3083">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</sst>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1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4" borderId="1" xfId="0" applyNumberFormat="1" applyFont="1" applyFill="1" applyBorder="1" applyAlignment="1" applyProtection="1">
      <alignment horizontal="right" vertical="center"/>
      <protection locked="0" hidden="1"/>
    </xf>
    <xf numFmtId="3" fontId="0" fillId="5" borderId="1" xfId="0" applyNumberFormat="1" applyFont="1" applyFill="1" applyBorder="1" applyAlignment="1" applyProtection="1">
      <alignment horizontal="right" vertical="center"/>
      <protection locked="0" hidden="1"/>
    </xf>
    <xf numFmtId="3" fontId="0" fillId="2" borderId="1" xfId="0" applyNumberFormat="1" applyFont="1" applyFill="1" applyBorder="1" applyAlignment="1" applyProtection="1">
      <alignment horizontal="right" vertical="center"/>
      <protection locked="0" hidden="1"/>
    </xf>
    <xf numFmtId="3" fontId="0" fillId="0" borderId="1" xfId="0" applyNumberFormat="1" applyFont="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25"/>
          <a:ext cx="11706225" cy="590550"/>
          <a:chOff x="7343770" y="3809455"/>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900-00002B1E0000}"/>
                  </a:ext>
                </a:extLst>
              </xdr:cNvPr>
              <xdr:cNvSpPr/>
            </xdr:nvSpPr>
            <xdr:spPr bwMode="auto">
              <a:xfrm>
                <a:off x="7343770" y="3809455"/>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0" t="s">
        <v>58</v>
      </c>
      <c r="C5" s="590"/>
      <c r="D5" s="590"/>
      <c r="E5" s="590"/>
      <c r="F5" s="590"/>
      <c r="G5" s="590"/>
      <c r="H5" s="590"/>
      <c r="I5" s="590"/>
      <c r="J5" s="590"/>
      <c r="K5" s="590"/>
      <c r="L5" s="590"/>
      <c r="M5" s="590"/>
      <c r="N5" s="590"/>
      <c r="O5" s="590"/>
      <c r="P5" s="590"/>
      <c r="Q5" s="590"/>
      <c r="R5" s="590"/>
      <c r="S5" s="590"/>
      <c r="T5" s="590"/>
      <c r="U5" s="590"/>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0</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1</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1</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D45" sqref="D45:V4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3</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600">
        <v>1</v>
      </c>
      <c r="E8" s="600"/>
      <c r="F8" s="44"/>
      <c r="G8" s="600">
        <v>1</v>
      </c>
      <c r="H8" s="600"/>
      <c r="I8" s="44"/>
      <c r="J8" s="603">
        <v>2024</v>
      </c>
      <c r="K8" s="604"/>
      <c r="L8" s="605"/>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606"/>
      <c r="K9" s="607"/>
      <c r="L9" s="608"/>
      <c r="Y9" s="14"/>
      <c r="Z9" s="14"/>
      <c r="AA9" s="96"/>
      <c r="AB9" s="93"/>
    </row>
    <row r="10" spans="2:31" ht="15.75" customHeight="1" thickBot="1" x14ac:dyDescent="0.25">
      <c r="B10" s="85" t="str">
        <f>Osnovno_Kraj_perioda</f>
        <v>Kraj izvještajnog perioda:</v>
      </c>
      <c r="D10" s="601">
        <v>30</v>
      </c>
      <c r="E10" s="602"/>
      <c r="F10" s="44"/>
      <c r="G10" s="601">
        <v>9</v>
      </c>
      <c r="H10" s="602"/>
      <c r="I10" s="44"/>
      <c r="J10" s="609"/>
      <c r="K10" s="610"/>
      <c r="L10" s="611"/>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30.09.2024.</v>
      </c>
      <c r="AB10" s="92" t="str">
        <f>IF(Y10, IF( Z10, AA10, Kontrola_Neispravno), Kontrola_Obavezno)</f>
        <v>30.09.2024.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Treći kvartal</v>
      </c>
      <c r="E12" s="167"/>
      <c r="F12" s="167"/>
      <c r="G12" s="167"/>
      <c r="H12" s="167"/>
      <c r="I12" s="167"/>
      <c r="J12" s="167"/>
      <c r="K12" s="167"/>
      <c r="L12" s="167"/>
      <c r="M12"/>
      <c r="N12"/>
      <c r="O12"/>
      <c r="P12"/>
      <c r="Q12"/>
      <c r="R12"/>
      <c r="S12"/>
      <c r="T12"/>
      <c r="U12"/>
      <c r="V12"/>
      <c r="Y12" s="14"/>
      <c r="Z12" s="14"/>
      <c r="AA12" s="86"/>
      <c r="AB12" s="92" t="str">
        <f>D12</f>
        <v>Treći kvartal</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593" t="str">
        <f>Zaglavlje_Naziv_preduzeca</f>
        <v xml:space="preserve">Naziv privrednog društva, zadruge, drugog pravnog lica ili preduzetnika: </v>
      </c>
      <c r="Y19" s="14"/>
      <c r="Z19" s="14"/>
      <c r="AA19" s="96"/>
      <c r="AB19" s="93"/>
    </row>
    <row r="20" spans="2:31" ht="22.5" customHeight="1" x14ac:dyDescent="0.2">
      <c r="B20" s="593"/>
      <c r="D20" s="594" t="s">
        <v>3074</v>
      </c>
      <c r="E20" s="594"/>
      <c r="F20" s="594"/>
      <c r="G20" s="594"/>
      <c r="H20" s="594"/>
      <c r="I20" s="594"/>
      <c r="J20" s="594"/>
      <c r="K20" s="594"/>
      <c r="L20" s="594"/>
      <c r="M20" s="594"/>
      <c r="N20" s="594"/>
      <c r="O20" s="594"/>
      <c r="P20" s="594"/>
      <c r="Q20" s="594"/>
      <c r="R20" s="594"/>
      <c r="S20" s="594"/>
      <c r="T20" s="594"/>
      <c r="U20" s="594"/>
      <c r="V20" s="594"/>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592"/>
      <c r="E40" s="591"/>
      <c r="F40" s="591"/>
      <c r="G40" s="591"/>
      <c r="H40" s="591"/>
      <c r="I40" s="591"/>
      <c r="J40" s="591"/>
      <c r="K40" s="591"/>
      <c r="L40" s="591"/>
      <c r="M40" s="591"/>
      <c r="N40" s="591"/>
      <c r="O40" s="591"/>
      <c r="P40" s="591"/>
      <c r="Q40" s="591"/>
      <c r="R40" s="591"/>
      <c r="S40" s="591"/>
      <c r="T40" s="591"/>
      <c r="U40" s="591"/>
      <c r="V40" s="591"/>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595">
        <v>31</v>
      </c>
      <c r="E43" s="597"/>
      <c r="F43" s="44"/>
      <c r="G43" s="595">
        <v>10</v>
      </c>
      <c r="H43" s="597"/>
      <c r="I43" s="44"/>
      <c r="J43" s="595">
        <v>2024</v>
      </c>
      <c r="K43" s="596"/>
      <c r="L43" s="597"/>
      <c r="M43"/>
      <c r="Y43" s="14" t="b">
        <f>AND( D43 &lt;&gt; "", G43 &lt;&gt; "", J43 &lt;&gt; "")</f>
        <v>1</v>
      </c>
      <c r="Z43" s="44" t="b">
        <f>IF( Y43, TEXT( DATE( J43, G43, D43), "dd.mm.yyyy" ) = TEXT( D43, "00") &amp; "." &amp; TEXT( G43, "00") &amp;"." &amp; CONCATENATE( J43), FALSE)</f>
        <v>1</v>
      </c>
      <c r="AA43" s="86" t="str">
        <f>IF( OR( Y43, Z43), TEXT( DATE( J43, G43, D43), "dd.mm.yyyy."), "")</f>
        <v>31.10.2024.</v>
      </c>
      <c r="AB43" s="94" t="str">
        <f>IF(Y43, IF( Z43, AA43, Kontrola_Neispravno), Kontrola_Obavezno)</f>
        <v>31.10.2024.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592" t="s">
        <v>3077</v>
      </c>
      <c r="E45" s="591"/>
      <c r="F45" s="591"/>
      <c r="G45" s="591"/>
      <c r="H45" s="591"/>
      <c r="I45" s="591"/>
      <c r="J45" s="591"/>
      <c r="K45" s="591"/>
      <c r="L45" s="591"/>
      <c r="M45" s="591"/>
      <c r="N45" s="591"/>
      <c r="O45" s="591"/>
      <c r="P45" s="591"/>
      <c r="Q45" s="591"/>
      <c r="R45" s="591"/>
      <c r="S45" s="591"/>
      <c r="T45" s="591"/>
      <c r="U45" s="591"/>
      <c r="V45" s="591"/>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592" t="s">
        <v>3078</v>
      </c>
      <c r="E47" s="591"/>
      <c r="F47" s="591"/>
      <c r="G47" s="591"/>
      <c r="H47" s="591"/>
      <c r="I47" s="591"/>
      <c r="J47" s="591"/>
      <c r="K47" s="591"/>
      <c r="L47" s="591"/>
      <c r="M47" s="591"/>
      <c r="N47" s="591"/>
      <c r="O47" s="591"/>
      <c r="P47" s="591"/>
      <c r="Q47" s="591"/>
      <c r="R47" s="591"/>
      <c r="S47" s="591"/>
      <c r="T47" s="591"/>
      <c r="U47" s="591"/>
      <c r="V47" s="591"/>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592" t="s">
        <v>3079</v>
      </c>
      <c r="E49" s="591"/>
      <c r="F49" s="591"/>
      <c r="G49" s="591"/>
      <c r="H49" s="591"/>
      <c r="I49" s="591"/>
      <c r="J49" s="591"/>
      <c r="K49" s="591"/>
      <c r="L49" s="591"/>
      <c r="M49" s="591"/>
      <c r="N49" s="591"/>
      <c r="O49" s="591"/>
      <c r="P49" s="591"/>
      <c r="Q49" s="591"/>
      <c r="R49" s="591"/>
      <c r="S49" s="591"/>
      <c r="T49" s="591"/>
      <c r="U49" s="591"/>
      <c r="V49" s="591"/>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592" t="s">
        <v>3080</v>
      </c>
      <c r="E52" s="591"/>
      <c r="F52" s="591"/>
      <c r="G52" s="591"/>
      <c r="H52" s="591"/>
      <c r="I52" s="591"/>
      <c r="J52" s="591"/>
      <c r="K52" s="591"/>
      <c r="L52" s="591"/>
      <c r="M52" s="591"/>
      <c r="N52" s="591"/>
      <c r="O52" s="591"/>
      <c r="P52" s="591"/>
      <c r="Q52" s="591"/>
      <c r="R52" s="591"/>
      <c r="S52" s="591"/>
      <c r="T52" s="591"/>
      <c r="U52" s="591"/>
      <c r="V52" s="591"/>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592" t="s">
        <v>3081</v>
      </c>
      <c r="E54" s="591"/>
      <c r="F54" s="591"/>
      <c r="G54" s="591"/>
      <c r="H54" s="591"/>
      <c r="I54" s="591"/>
      <c r="J54" s="591"/>
      <c r="K54" s="591"/>
      <c r="L54" s="591"/>
      <c r="M54" s="591"/>
      <c r="N54" s="591"/>
      <c r="O54" s="591"/>
      <c r="P54" s="591"/>
      <c r="Q54" s="591"/>
      <c r="R54" s="591"/>
      <c r="S54" s="591"/>
      <c r="T54" s="591"/>
      <c r="U54" s="591"/>
      <c r="V54" s="591"/>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592" t="s">
        <v>3082</v>
      </c>
      <c r="E56" s="591"/>
      <c r="F56" s="591"/>
      <c r="G56" s="591"/>
      <c r="H56" s="591"/>
      <c r="I56" s="591"/>
      <c r="J56" s="591"/>
      <c r="K56" s="591"/>
      <c r="L56" s="591"/>
      <c r="M56" s="591"/>
      <c r="N56" s="591"/>
      <c r="O56" s="591"/>
      <c r="P56" s="591"/>
      <c r="Q56" s="591"/>
      <c r="R56" s="591"/>
      <c r="S56" s="591"/>
      <c r="T56" s="591"/>
      <c r="U56" s="591"/>
      <c r="V56" s="591"/>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3"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3"/>
      <c r="C70" s="9"/>
      <c r="D70" s="591"/>
      <c r="E70" s="591"/>
      <c r="F70" s="591"/>
      <c r="G70" s="591"/>
      <c r="H70" s="591"/>
      <c r="I70" s="591"/>
      <c r="J70" s="591"/>
      <c r="K70" s="591"/>
      <c r="L70" s="591"/>
      <c r="M70" s="591"/>
      <c r="N70" s="591"/>
      <c r="O70" s="591"/>
      <c r="P70" s="591"/>
      <c r="Q70" s="591"/>
      <c r="R70" s="591"/>
      <c r="S70" s="591"/>
      <c r="T70" s="591"/>
      <c r="U70" s="591"/>
      <c r="V70" s="591"/>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1"/>
      <c r="E72" s="591"/>
      <c r="F72" s="591"/>
      <c r="G72" s="591"/>
      <c r="H72" s="591"/>
      <c r="I72" s="591"/>
      <c r="J72" s="591"/>
      <c r="K72" s="591"/>
      <c r="L72" s="591"/>
      <c r="M72" s="591"/>
      <c r="N72" s="591"/>
      <c r="O72" s="591"/>
      <c r="P72" s="591"/>
      <c r="Q72" s="591"/>
      <c r="R72" s="591"/>
      <c r="S72" s="591"/>
      <c r="T72" s="591"/>
      <c r="U72" s="591"/>
      <c r="V72" s="591"/>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93" t="str">
        <f>IF( Konsolidovan_izvjestaj, Zaglavlje_Naziv_preduzeca, "")</f>
        <v/>
      </c>
      <c r="Y81"/>
      <c r="Z81"/>
      <c r="AA81"/>
    </row>
    <row r="82" spans="1:27" ht="21" customHeight="1" x14ac:dyDescent="0.2">
      <c r="A82" s="9"/>
      <c r="B82" s="593"/>
      <c r="D82" s="591"/>
      <c r="E82" s="591"/>
      <c r="F82" s="591"/>
      <c r="G82" s="591"/>
      <c r="H82" s="591"/>
      <c r="I82" s="591"/>
      <c r="J82" s="591"/>
      <c r="K82" s="591"/>
      <c r="L82" s="591"/>
      <c r="M82" s="591"/>
      <c r="N82" s="591"/>
      <c r="O82" s="591"/>
      <c r="P82" s="591"/>
      <c r="Q82" s="591"/>
      <c r="R82" s="591"/>
      <c r="S82" s="591"/>
      <c r="T82" s="591"/>
      <c r="U82" s="591"/>
      <c r="V82" s="591"/>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91"/>
      <c r="E84" s="591"/>
      <c r="F84" s="591"/>
      <c r="G84" s="591"/>
      <c r="H84" s="591"/>
      <c r="I84" s="591"/>
      <c r="J84" s="591"/>
      <c r="K84" s="591"/>
      <c r="L84" s="591"/>
      <c r="M84" s="591"/>
      <c r="N84" s="591"/>
      <c r="O84" s="591"/>
      <c r="P84" s="591"/>
      <c r="Q84" s="591"/>
      <c r="R84" s="591"/>
      <c r="S84" s="591"/>
      <c r="T84" s="591"/>
      <c r="U84" s="591"/>
      <c r="V84" s="591"/>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93" t="str">
        <f>IF( Konsolidovan_izvjestaj, Zaglavlje_Naziv_preduzeca, "")</f>
        <v/>
      </c>
    </row>
    <row r="92" spans="1:27" ht="21.75" customHeight="1" x14ac:dyDescent="0.2">
      <c r="A92" s="9"/>
      <c r="B92" s="593"/>
      <c r="D92" s="591"/>
      <c r="E92" s="591"/>
      <c r="F92" s="591"/>
      <c r="G92" s="591"/>
      <c r="H92" s="591"/>
      <c r="I92" s="591"/>
      <c r="J92" s="591"/>
      <c r="K92" s="591"/>
      <c r="L92" s="591"/>
      <c r="M92" s="591"/>
      <c r="N92" s="591"/>
      <c r="O92" s="591"/>
      <c r="P92" s="591"/>
      <c r="Q92" s="591"/>
      <c r="R92" s="591"/>
      <c r="S92" s="591"/>
      <c r="T92" s="591"/>
      <c r="U92" s="591"/>
      <c r="V92" s="591"/>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91"/>
      <c r="E94" s="591"/>
      <c r="F94" s="591"/>
      <c r="G94" s="591"/>
      <c r="H94" s="591"/>
      <c r="I94" s="591"/>
      <c r="J94" s="591"/>
      <c r="K94" s="591"/>
      <c r="L94" s="591"/>
      <c r="M94" s="591"/>
      <c r="N94" s="591"/>
      <c r="O94" s="591"/>
      <c r="P94" s="591"/>
      <c r="Q94" s="591"/>
      <c r="R94" s="591"/>
      <c r="S94" s="591"/>
      <c r="T94" s="591"/>
      <c r="U94" s="591"/>
      <c r="V94" s="591"/>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3" t="str">
        <f>IF( Konsolidovan_izvjestaj, Zaglavlje_Naziv_preduzeca, "")</f>
        <v/>
      </c>
    </row>
    <row r="102" spans="1:32" ht="20.25" customHeight="1" x14ac:dyDescent="0.2">
      <c r="A102" s="9"/>
      <c r="B102" s="593"/>
      <c r="D102" s="591"/>
      <c r="E102" s="591"/>
      <c r="F102" s="591"/>
      <c r="G102" s="591"/>
      <c r="H102" s="591"/>
      <c r="I102" s="591"/>
      <c r="J102" s="591"/>
      <c r="K102" s="591"/>
      <c r="L102" s="591"/>
      <c r="M102" s="591"/>
      <c r="N102" s="591"/>
      <c r="O102" s="591"/>
      <c r="P102" s="591"/>
      <c r="Q102" s="591"/>
      <c r="R102" s="591"/>
      <c r="S102" s="591"/>
      <c r="T102" s="591"/>
      <c r="U102" s="591"/>
      <c r="V102" s="591"/>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91"/>
      <c r="E104" s="591"/>
      <c r="F104" s="591"/>
      <c r="G104" s="591"/>
      <c r="H104" s="591"/>
      <c r="I104" s="591"/>
      <c r="J104" s="591"/>
      <c r="K104" s="591"/>
      <c r="L104" s="591"/>
      <c r="M104" s="591"/>
      <c r="N104" s="591"/>
      <c r="O104" s="591"/>
      <c r="P104" s="591"/>
      <c r="Q104" s="591"/>
      <c r="R104" s="591"/>
      <c r="S104" s="591"/>
      <c r="T104" s="591"/>
      <c r="U104" s="591"/>
      <c r="V104" s="591"/>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3" t="str">
        <f>IF( Konsolidovan_izvjestaj, Zaglavlje_Naziv_preduzeca, "")</f>
        <v/>
      </c>
    </row>
    <row r="112" spans="1:32" ht="22.5" customHeight="1" x14ac:dyDescent="0.2">
      <c r="B112" s="593"/>
      <c r="D112" s="591"/>
      <c r="E112" s="591"/>
      <c r="F112" s="591"/>
      <c r="G112" s="591"/>
      <c r="H112" s="591"/>
      <c r="I112" s="591"/>
      <c r="J112" s="591"/>
      <c r="K112" s="591"/>
      <c r="L112" s="591"/>
      <c r="M112" s="591"/>
      <c r="N112" s="591"/>
      <c r="O112" s="591"/>
      <c r="P112" s="591"/>
      <c r="Q112" s="591"/>
      <c r="R112" s="591"/>
      <c r="S112" s="591"/>
      <c r="T112" s="591"/>
      <c r="U112" s="591"/>
      <c r="V112" s="591"/>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91"/>
      <c r="E114" s="591"/>
      <c r="F114" s="591"/>
      <c r="G114" s="591"/>
      <c r="H114" s="591"/>
      <c r="I114" s="591"/>
      <c r="J114" s="591"/>
      <c r="K114" s="591"/>
      <c r="L114" s="591"/>
      <c r="M114" s="591"/>
      <c r="N114" s="591"/>
      <c r="O114" s="591"/>
      <c r="P114" s="591"/>
      <c r="Q114" s="591"/>
      <c r="R114" s="591"/>
      <c r="S114" s="591"/>
      <c r="T114" s="591"/>
      <c r="U114" s="591"/>
      <c r="V114" s="591"/>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3" t="str">
        <f>IF( Konsolidovan_izvjestaj, Zaglavlje_Naziv_preduzeca, "")</f>
        <v/>
      </c>
    </row>
    <row r="122" spans="2:32" ht="8.25" customHeight="1" x14ac:dyDescent="0.2">
      <c r="B122" s="593"/>
      <c r="D122" s="591"/>
      <c r="E122" s="591"/>
      <c r="F122" s="591"/>
      <c r="G122" s="591"/>
      <c r="H122" s="591"/>
      <c r="I122" s="591"/>
      <c r="J122" s="591"/>
      <c r="K122" s="591"/>
      <c r="L122" s="591"/>
      <c r="M122" s="591"/>
      <c r="N122" s="591"/>
      <c r="O122" s="591"/>
      <c r="P122" s="591"/>
      <c r="Q122" s="591"/>
      <c r="R122" s="591"/>
      <c r="S122" s="591"/>
      <c r="T122" s="591"/>
      <c r="U122" s="591"/>
      <c r="V122" s="591"/>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91"/>
      <c r="E124" s="591"/>
      <c r="F124" s="591"/>
      <c r="G124" s="591"/>
      <c r="H124" s="591"/>
      <c r="I124" s="591"/>
      <c r="J124" s="591"/>
      <c r="K124" s="591"/>
      <c r="L124" s="591"/>
      <c r="M124" s="591"/>
      <c r="N124" s="591"/>
      <c r="O124" s="591"/>
      <c r="P124" s="591"/>
      <c r="Q124" s="591"/>
      <c r="R124" s="591"/>
      <c r="S124" s="591"/>
      <c r="T124" s="591"/>
      <c r="U124" s="591"/>
      <c r="V124" s="591"/>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pGl0Zjo3Y4KFhci5ciSNbEe8qhDqwsGqtP4gCFn//CBOKGxw6QujuFqZZSev/EIiHmgegqF6LLuJWibGHXAZJQ==" saltValue="htFxIKPBnkPjTt9OkzJqxA=="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77" activePane="bottomRight" state="frozen"/>
      <selection activeCell="S33" sqref="S33"/>
      <selection pane="topRight" activeCell="S33" sqref="S33"/>
      <selection pane="bottomLeft" activeCell="S33" sqref="S33"/>
      <selection pane="bottomRight" activeCell="K145" sqref="K145:L145"/>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7" t="str">
        <f>Zaglavlje_Naziv_preduzeca</f>
        <v xml:space="preserve">Naziv privrednog društva, zadruge, drugog pravnog lica ili preduzetnika: </v>
      </c>
      <c r="D5" s="647"/>
      <c r="E5" s="647"/>
      <c r="F5" s="126"/>
      <c r="G5" s="126"/>
      <c r="H5" s="126"/>
      <c r="I5" s="126"/>
      <c r="K5" s="126"/>
      <c r="N5" s="391" t="str">
        <f>Podatak_MB</f>
        <v>01814788</v>
      </c>
    </row>
    <row r="6" spans="1:14" x14ac:dyDescent="0.2">
      <c r="A6" s="13"/>
      <c r="B6" s="13"/>
      <c r="C6" s="647"/>
      <c r="D6" s="647"/>
      <c r="E6" s="647"/>
      <c r="F6" s="128"/>
      <c r="G6" s="126"/>
      <c r="J6" s="126"/>
      <c r="K6" s="126"/>
      <c r="L6" s="126"/>
      <c r="N6" s="420" t="str">
        <f>Zaglavlje_MB</f>
        <v>Matični broj</v>
      </c>
    </row>
    <row r="7" spans="1:14" x14ac:dyDescent="0.2">
      <c r="A7" s="16"/>
      <c r="B7" s="16"/>
      <c r="C7" s="667" t="str">
        <f>Podatak_Naziv_preduzeca</f>
        <v>Elektrodistribucija a.d. Pale</v>
      </c>
      <c r="D7" s="667"/>
      <c r="E7" s="667"/>
      <c r="F7" s="243"/>
      <c r="J7" s="126"/>
      <c r="K7" s="126"/>
      <c r="L7" s="126"/>
      <c r="N7" s="391" t="str">
        <f>Podatak_Sifra_djelatnosti</f>
        <v>35.13</v>
      </c>
    </row>
    <row r="8" spans="1:14" x14ac:dyDescent="0.2">
      <c r="A8" s="16"/>
      <c r="B8" s="16"/>
      <c r="C8" s="125" t="str">
        <f>Zaglavlje_Sjediste</f>
        <v>Sjedište:</v>
      </c>
      <c r="D8" s="624" t="str">
        <f>Podatak_Sjediste</f>
        <v>Pale</v>
      </c>
      <c r="E8" s="624"/>
      <c r="F8" s="129"/>
      <c r="G8" s="126"/>
      <c r="J8" s="126"/>
      <c r="K8" s="126"/>
      <c r="L8" s="126"/>
      <c r="N8" s="242" t="str">
        <f>Zaglavlje_Sifra_djelatnosti</f>
        <v>Šifra djelatnosti</v>
      </c>
    </row>
    <row r="9" spans="1:14" ht="12.75" customHeight="1" x14ac:dyDescent="0.2">
      <c r="A9" s="13"/>
      <c r="B9" s="13"/>
      <c r="C9" s="666" t="str">
        <f>Zaglavlje_Ziro_racun</f>
        <v>Račun kod ovlašćene organizacije za platni promet:</v>
      </c>
      <c r="D9" s="666"/>
      <c r="E9" s="666"/>
      <c r="J9" s="126"/>
      <c r="K9" s="126"/>
      <c r="L9" s="671" t="str">
        <f>Podatak_JIB</f>
        <v>4400570050004</v>
      </c>
      <c r="M9" s="671"/>
      <c r="N9" s="671"/>
    </row>
    <row r="10" spans="1:14" x14ac:dyDescent="0.2">
      <c r="A10" s="13"/>
      <c r="B10" s="13"/>
      <c r="C10" s="670" t="str">
        <f>Podatak_Ziro_racun_1</f>
        <v>562-012-00002669-48</v>
      </c>
      <c r="D10" s="670"/>
      <c r="E10" s="670"/>
      <c r="F10" s="125"/>
      <c r="G10" s="657" t="s">
        <v>786</v>
      </c>
      <c r="H10" s="657"/>
      <c r="J10" s="126"/>
      <c r="K10" s="126"/>
      <c r="L10" s="126"/>
      <c r="N10" s="242" t="str">
        <f>Zaglavlje_JIB</f>
        <v>JIB</v>
      </c>
    </row>
    <row r="11" spans="1:14" x14ac:dyDescent="0.2">
      <c r="B11" s="8"/>
      <c r="C11" s="670" t="str">
        <f>Podatak_Ziro_racun_2</f>
        <v>555-002-00004363-23</v>
      </c>
      <c r="D11" s="670"/>
      <c r="E11" s="670"/>
      <c r="F11" s="130"/>
      <c r="G11" s="130"/>
      <c r="H11" s="130"/>
      <c r="I11" s="130"/>
      <c r="J11" s="131"/>
      <c r="K11" s="131"/>
      <c r="L11" s="130"/>
      <c r="M11" s="132"/>
      <c r="N11" s="132"/>
    </row>
    <row r="12" spans="1:14" x14ac:dyDescent="0.2">
      <c r="B12" s="8"/>
      <c r="C12" s="670" t="str">
        <f>Podatak_Ziro_racun_3</f>
        <v>567-491-10000002-86</v>
      </c>
      <c r="D12" s="670"/>
      <c r="E12" s="670"/>
      <c r="F12" s="130"/>
      <c r="G12" s="130"/>
      <c r="H12" s="130"/>
      <c r="I12" s="130"/>
      <c r="J12" s="131"/>
      <c r="K12" s="131"/>
      <c r="L12" s="130"/>
      <c r="M12" s="132"/>
      <c r="N12" s="132"/>
    </row>
    <row r="13" spans="1:14" x14ac:dyDescent="0.2">
      <c r="B13" s="8"/>
      <c r="C13" s="670" t="str">
        <f>Podatak_Ziro_racun_4</f>
        <v/>
      </c>
      <c r="D13" s="670"/>
      <c r="E13" s="670"/>
      <c r="F13" s="130"/>
      <c r="G13" s="130"/>
      <c r="H13" s="130"/>
      <c r="I13" s="130"/>
      <c r="J13" s="131"/>
      <c r="K13" s="131"/>
      <c r="L13" s="130"/>
      <c r="M13" s="132"/>
      <c r="N13" s="132"/>
    </row>
    <row r="14" spans="1:14" ht="15.75" x14ac:dyDescent="0.2">
      <c r="B14" s="8"/>
      <c r="C14" s="625" t="str">
        <f>IF( Id_Konsolidovani, Nazivi_bilansa_Konsolidovani_naziv &amp; LOWER( Nazivi_bilansa_BS), Nazivi_bilansa_BS)</f>
        <v>Bilans stanja</v>
      </c>
      <c r="D14" s="625"/>
      <c r="E14" s="625"/>
      <c r="F14" s="625"/>
      <c r="G14" s="625"/>
      <c r="H14" s="625"/>
      <c r="I14" s="625"/>
      <c r="J14" s="625"/>
      <c r="K14" s="625"/>
      <c r="L14" s="625"/>
      <c r="M14" s="625"/>
      <c r="N14" s="625"/>
    </row>
    <row r="15" spans="1:14" x14ac:dyDescent="0.2">
      <c r="B15" s="8"/>
      <c r="C15" s="663" t="str">
        <f>Nazivi_bilansa_BS1</f>
        <v>(Izvještaj o finansijskom položaju)</v>
      </c>
      <c r="D15" s="663"/>
      <c r="E15" s="663"/>
      <c r="F15" s="663"/>
      <c r="G15" s="663"/>
      <c r="H15" s="663"/>
      <c r="I15" s="663"/>
      <c r="J15" s="663"/>
      <c r="K15" s="663"/>
      <c r="L15" s="663"/>
      <c r="M15" s="663"/>
      <c r="N15" s="663"/>
    </row>
    <row r="16" spans="1:14" x14ac:dyDescent="0.2">
      <c r="B16" s="8"/>
      <c r="C16" s="663" t="str">
        <f>Datumi_Datum_BS</f>
        <v>na dan 30.09.2024. godine</v>
      </c>
      <c r="D16" s="663"/>
      <c r="E16" s="663"/>
      <c r="F16" s="663"/>
      <c r="G16" s="663"/>
      <c r="H16" s="663"/>
      <c r="I16" s="663"/>
      <c r="J16" s="663"/>
      <c r="K16" s="663"/>
      <c r="L16" s="663"/>
      <c r="M16" s="663"/>
      <c r="N16" s="663"/>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60" t="str">
        <f>Tabele_zaglavlje_Grupa_racuna</f>
        <v>Grupa računa, račun</v>
      </c>
      <c r="D18" s="648" t="str">
        <f>Tabele_zaglavlje_Pozicija</f>
        <v>POZICIJA</v>
      </c>
      <c r="E18" s="649"/>
      <c r="F18" s="649"/>
      <c r="G18" s="649"/>
      <c r="H18" s="650"/>
      <c r="I18" s="664" t="str">
        <f>Tabele_zaglavlje_Oznaka_aop</f>
        <v>Oznaka za AOP</v>
      </c>
      <c r="J18" s="668" t="str" cm="1">
        <f t="array" ref="J18">Tabele_zaglavlje_Napomena_aop</f>
        <v>Napomena</v>
      </c>
      <c r="K18" s="662" t="str">
        <f>Tabele_zaglavlje_BS_iznos_tekuca</f>
        <v>Iznos na dan bilansa tekuće godine</v>
      </c>
      <c r="L18" s="662"/>
      <c r="M18" s="662"/>
      <c r="N18" s="658" t="str">
        <f>Tabele_zaglavlje_BS_iznos_prethodna</f>
        <v>Iznos na dan bilansa prethodne godine (PS)</v>
      </c>
    </row>
    <row r="19" spans="2:16" ht="38.25" customHeight="1" x14ac:dyDescent="0.2">
      <c r="B19" s="8"/>
      <c r="C19" s="661"/>
      <c r="D19" s="651"/>
      <c r="E19" s="652"/>
      <c r="F19" s="652"/>
      <c r="G19" s="652"/>
      <c r="H19" s="653"/>
      <c r="I19" s="665"/>
      <c r="J19" s="669"/>
      <c r="K19" s="22" t="str">
        <f>Tabele_zaglavlje_BS_bruto</f>
        <v>Bruto</v>
      </c>
      <c r="L19" s="23" t="str">
        <f>Tabele_zaglavlje_BS_ispravka</f>
        <v>Ispravka vrijednosti</v>
      </c>
      <c r="M19" s="23" t="str">
        <f>Tabele_zaglavlje_BS_neto</f>
        <v>Neto (5-6)</v>
      </c>
      <c r="N19" s="659"/>
      <c r="P19" s="134" t="s">
        <v>490</v>
      </c>
    </row>
    <row r="20" spans="2:16" x14ac:dyDescent="0.2">
      <c r="B20" s="15" t="s">
        <v>123</v>
      </c>
      <c r="C20" s="24">
        <v>1</v>
      </c>
      <c r="D20" s="654">
        <v>2</v>
      </c>
      <c r="E20" s="655"/>
      <c r="F20" s="655"/>
      <c r="G20" s="655"/>
      <c r="H20" s="656"/>
      <c r="I20" s="25">
        <v>3</v>
      </c>
      <c r="J20" s="25">
        <v>4</v>
      </c>
      <c r="K20" s="25">
        <v>5</v>
      </c>
      <c r="L20" s="25">
        <v>6</v>
      </c>
      <c r="M20" s="25">
        <v>7</v>
      </c>
      <c r="N20" s="26">
        <v>8</v>
      </c>
    </row>
    <row r="21" spans="2:16" ht="26.25" customHeight="1" x14ac:dyDescent="0.2">
      <c r="B21" s="15">
        <v>1</v>
      </c>
      <c r="C21" s="169">
        <f>VLOOKUP( $B21, T_Aop[], 5, 1)</f>
        <v>0</v>
      </c>
      <c r="D21" s="626" t="str">
        <f>VLOOKUP( $B21, T_Aop[], 6, 1)</f>
        <v xml:space="preserve">  BILANSNA AKTIVA
A. STALNA SREDSTVA (002+008+015+016+017+022+034)</v>
      </c>
      <c r="E21" s="627"/>
      <c r="F21" s="627"/>
      <c r="G21" s="627"/>
      <c r="H21" s="628"/>
      <c r="I21" s="425">
        <f>VLOOKUP( $B21, T_Aop[], 4, 1)</f>
        <v>1</v>
      </c>
      <c r="J21" s="426"/>
      <c r="K21" s="32">
        <f>SUBTOTAL( 9, K22:K54)</f>
        <v>335549568.01999998</v>
      </c>
      <c r="L21" s="32">
        <f>SUBTOTAL( 9, L22:L54)</f>
        <v>200579156</v>
      </c>
      <c r="M21" s="235">
        <f>IF(AND([0]!Godina=2024,MID(Osnovni_podaci!D20,3,1)="e",Osnovni_podaci!L24=5,Osnovni_podaci!G24=0,MID(Osnovni_podaci!D20,3,1)="e",MID(Osnovni_podaci!D20,8,1)="d"),SUM(K21,-L21),A1)</f>
        <v>134970412.01999998</v>
      </c>
      <c r="N21" s="33">
        <f>SUBTOTAL( 9, N22:N54)</f>
        <v>134941065</v>
      </c>
    </row>
    <row r="22" spans="2:16" x14ac:dyDescent="0.2">
      <c r="B22" s="15">
        <v>2</v>
      </c>
      <c r="C22" s="359" t="str">
        <f>VLOOKUP( $B22, T_Aop[], 5, 1)</f>
        <v>01</v>
      </c>
      <c r="D22" s="644" t="str">
        <f>VLOOKUP( $B22, T_Aop[], 6, 1)</f>
        <v xml:space="preserve">  I  NEMATERIJALNA SREDSTVA  (003 do 007)</v>
      </c>
      <c r="E22" s="645"/>
      <c r="F22" s="645"/>
      <c r="G22" s="645"/>
      <c r="H22" s="646"/>
      <c r="I22" s="168">
        <f>VLOOKUP( $B22, T_Aop[], 4, 1)</f>
        <v>2</v>
      </c>
      <c r="J22" s="424"/>
      <c r="K22" s="30">
        <f>SUBTOTAL( 9, K23:K27)</f>
        <v>7523193</v>
      </c>
      <c r="L22" s="30">
        <f>SUBTOTAL( 9, L23:L27)</f>
        <v>1490234</v>
      </c>
      <c r="M22" s="30">
        <f>IF(AND([0]!Godina=2024,MID(Osnovni_podaci!D20,3,1)="e",Osnovni_podaci!L24=5,Osnovni_podaci!G24=0,MID(Osnovni_podaci!D20,3,1)="e",MID(Osnovni_podaci!D20,8,1)="d"),SUM(K22,-L22),A1)</f>
        <v>6032959</v>
      </c>
      <c r="N22" s="239">
        <f>SUBTOTAL( 9, N23:N27)</f>
        <v>5966226</v>
      </c>
      <c r="P22" s="44"/>
    </row>
    <row r="23" spans="2:16" x14ac:dyDescent="0.2">
      <c r="B23" s="15">
        <v>3</v>
      </c>
      <c r="C23" s="360" t="str">
        <f>VLOOKUP( $B23, T_Aop[], 5, 1)</f>
        <v>010, dio 019</v>
      </c>
      <c r="D23" s="618" t="str">
        <f>VLOOKUP( $B23, T_Aop[], 6, 1)</f>
        <v xml:space="preserve">    1. Ulaganja u razvoj</v>
      </c>
      <c r="E23" s="619"/>
      <c r="F23" s="619"/>
      <c r="G23" s="619"/>
      <c r="H23" s="620"/>
      <c r="I23" s="121">
        <f>VLOOKUP( $B23, T_Aop[], 4, 1)</f>
        <v>3</v>
      </c>
      <c r="J23" s="157"/>
      <c r="K23" s="157">
        <v>42799</v>
      </c>
      <c r="L23" s="157">
        <v>23910</v>
      </c>
      <c r="M23" s="236">
        <f>IF(AND([0]!Godina=2024,MID(Osnovni_podaci!D20,3,1)="e",Osnovni_podaci!L24=5,Osnovni_podaci!G24=0,MID(Osnovni_podaci!D20,3,1)="e",MID(Osnovni_podaci!D20,8,1)="d"),SUM(K23,-L23),A1)</f>
        <v>18889</v>
      </c>
      <c r="N23" s="577">
        <v>19959</v>
      </c>
      <c r="P23" s="44"/>
    </row>
    <row r="24" spans="2:16" x14ac:dyDescent="0.2">
      <c r="B24" s="15">
        <v>4</v>
      </c>
      <c r="C24" s="361" t="str">
        <f>VLOOKUP( $B24, T_Aop[], 5, 1)</f>
        <v>011, 013 dio 019</v>
      </c>
      <c r="D24" s="621" t="str">
        <f>VLOOKUP( $B24, T_Aop[], 6, 1)</f>
        <v xml:space="preserve">    2. Koncesije, patenti, licence, softver i ostala prava</v>
      </c>
      <c r="E24" s="622"/>
      <c r="F24" s="622"/>
      <c r="G24" s="622"/>
      <c r="H24" s="623"/>
      <c r="I24" s="122">
        <f>VLOOKUP( $B24, T_Aop[], 4, 1)</f>
        <v>4</v>
      </c>
      <c r="J24" s="155"/>
      <c r="K24" s="155">
        <v>7480394</v>
      </c>
      <c r="L24" s="155">
        <v>1466324</v>
      </c>
      <c r="M24" s="150">
        <f>IF(AND([0]!Godina=2024,MID(Osnovni_podaci!D20,3,1)="e",Osnovni_podaci!L24=5,Osnovni_podaci!G24=0,MID(Osnovni_podaci!D20,3,1)="e",MID(Osnovni_podaci!D20,8,1)="d"),SUM(K24,-L24),A1)</f>
        <v>6014070</v>
      </c>
      <c r="N24" s="578">
        <v>5946267</v>
      </c>
      <c r="P24" s="44"/>
    </row>
    <row r="25" spans="2:16" x14ac:dyDescent="0.2">
      <c r="B25" s="15">
        <v>5</v>
      </c>
      <c r="C25" s="360" t="str">
        <f>VLOOKUP( $B25, T_Aop[], 5, 1)</f>
        <v>012, dio 019</v>
      </c>
      <c r="D25" s="618" t="str">
        <f>VLOOKUP( $B25, T_Aop[], 6, 1)</f>
        <v xml:space="preserve">    3. Goodwill</v>
      </c>
      <c r="E25" s="619"/>
      <c r="F25" s="619"/>
      <c r="G25" s="619"/>
      <c r="H25" s="620"/>
      <c r="I25" s="121">
        <f>VLOOKUP( $B25, T_Aop[], 4, 1)</f>
        <v>5</v>
      </c>
      <c r="J25" s="157"/>
      <c r="K25" s="157"/>
      <c r="L25" s="157"/>
      <c r="M25" s="151">
        <f>IF(AND([0]!Godina=2024,MID(Osnovni_podaci!D20,3,1)="e",Osnovni_podaci!L24=5,Osnovni_podaci!G24=0,MID(Osnovni_podaci!D20,3,1)="e",MID(Osnovni_podaci!D20,8,1)="d"),SUM(K25,-L25),A1)</f>
        <v>0</v>
      </c>
      <c r="N25" s="579">
        <v>0</v>
      </c>
      <c r="P25" s="44"/>
    </row>
    <row r="26" spans="2:16" x14ac:dyDescent="0.2">
      <c r="B26" s="15">
        <v>6</v>
      </c>
      <c r="C26" s="361" t="str">
        <f>VLOOKUP( $B26, T_Aop[], 5, 1)</f>
        <v>014, dio 019</v>
      </c>
      <c r="D26" s="621" t="str">
        <f>VLOOKUP( $B26, T_Aop[], 6, 1)</f>
        <v xml:space="preserve">    4. Ostala nematerijalna sredstva</v>
      </c>
      <c r="E26" s="622"/>
      <c r="F26" s="622"/>
      <c r="G26" s="622"/>
      <c r="H26" s="623"/>
      <c r="I26" s="122">
        <f>VLOOKUP( $B26, T_Aop[], 4, 1)</f>
        <v>6</v>
      </c>
      <c r="J26" s="155"/>
      <c r="K26" s="155"/>
      <c r="L26" s="155"/>
      <c r="M26" s="152">
        <f>IF(AND([0]!Godina=2024,MID(Osnovni_podaci!D20,3,1)="e",Osnovni_podaci!L24=5,Osnovni_podaci!G24=0,MID(Osnovni_podaci!D20,3,1)="e",MID(Osnovni_podaci!D20,8,1)="d"),SUM(K26,-L26),A1)</f>
        <v>0</v>
      </c>
      <c r="N26" s="576">
        <v>0</v>
      </c>
      <c r="P26" s="44"/>
    </row>
    <row r="27" spans="2:16" x14ac:dyDescent="0.2">
      <c r="B27" s="15">
        <v>7</v>
      </c>
      <c r="C27" s="360" t="str">
        <f>VLOOKUP( $B27, T_Aop[], 5, 1)</f>
        <v>015, 016, dio 019</v>
      </c>
      <c r="D27" s="618" t="str">
        <f>VLOOKUP( $B27, T_Aop[], 6, 1)</f>
        <v xml:space="preserve">    5. Avansi i nematerijalna sredstva u pripremi </v>
      </c>
      <c r="E27" s="619"/>
      <c r="F27" s="619"/>
      <c r="G27" s="619"/>
      <c r="H27" s="620"/>
      <c r="I27" s="121">
        <f>VLOOKUP( $B27, T_Aop[], 4, 1)</f>
        <v>7</v>
      </c>
      <c r="J27" s="157"/>
      <c r="K27" s="157"/>
      <c r="L27" s="157"/>
      <c r="M27" s="151">
        <f>IF(AND([0]!Godina=2024,MID(Osnovni_podaci!D20,3,1)="e",Osnovni_podaci!L24=5,Osnovni_podaci!G24=0,MID(Osnovni_podaci!D20,3,1)="e",MID(Osnovni_podaci!D20,8,1)="d"),SUM(K27,-L27),A1)</f>
        <v>0</v>
      </c>
      <c r="N27" s="579">
        <v>0</v>
      </c>
      <c r="P27" s="44"/>
    </row>
    <row r="28" spans="2:16" x14ac:dyDescent="0.2">
      <c r="B28" s="15">
        <v>8</v>
      </c>
      <c r="C28" s="361" t="str">
        <f>VLOOKUP( $B28, T_Aop[], 5, 1)</f>
        <v>02</v>
      </c>
      <c r="D28" s="629" t="str">
        <f>VLOOKUP( $B28, T_Aop[], 6, 1)</f>
        <v xml:space="preserve">  II  NEKRETNINE, POSTROJENJA I OPREMA (009 do 014) </v>
      </c>
      <c r="E28" s="630"/>
      <c r="F28" s="630"/>
      <c r="G28" s="630"/>
      <c r="H28" s="631"/>
      <c r="I28" s="171">
        <f>VLOOKUP( $B28, T_Aop[], 4, 1)</f>
        <v>8</v>
      </c>
      <c r="J28" s="155"/>
      <c r="K28" s="30">
        <f>SUBTOTAL(9,K29:K34)</f>
        <v>305985142</v>
      </c>
      <c r="L28" s="30">
        <f>SUBTOTAL(9,L29:L34)</f>
        <v>198167066</v>
      </c>
      <c r="M28" s="31">
        <f>IF(AND([0]!Godina=2024,MID(Osnovni_podaci!D20,3,1)="e",Osnovni_podaci!L24=5,Osnovni_podaci!G24=0,MID(Osnovni_podaci!D20,3,1)="e",MID(Osnovni_podaci!D20,8,1)="d"),SUM(K28,-L28),A1)</f>
        <v>107818076</v>
      </c>
      <c r="N28" s="239">
        <f>SUBTOTAL(9,N29:N34)</f>
        <v>107741246</v>
      </c>
      <c r="P28" s="44"/>
    </row>
    <row r="29" spans="2:16" x14ac:dyDescent="0.2">
      <c r="B29" s="15">
        <v>9</v>
      </c>
      <c r="C29" s="360" t="str">
        <f>VLOOKUP( $B29, T_Aop[], 5, 1)</f>
        <v>020, dio 029</v>
      </c>
      <c r="D29" s="618" t="str">
        <f>VLOOKUP( $B29, T_Aop[], 6, 1)</f>
        <v xml:space="preserve">    1. Zemljište</v>
      </c>
      <c r="E29" s="619"/>
      <c r="F29" s="619"/>
      <c r="G29" s="619"/>
      <c r="H29" s="620"/>
      <c r="I29" s="121">
        <f>VLOOKUP( $B29, T_Aop[], 4, 1)</f>
        <v>9</v>
      </c>
      <c r="J29" s="157"/>
      <c r="K29" s="157">
        <v>325601</v>
      </c>
      <c r="L29" s="157"/>
      <c r="M29" s="151">
        <f>IF(AND([0]!Godina=2024,MID(Osnovni_podaci!D20,3,1)="e",Osnovni_podaci!L24=5,Osnovni_podaci!G24=0,MID(Osnovni_podaci!D20,3,1)="e",MID(Osnovni_podaci!D20,8,1)="d"),SUM(K29,-L29),A1)</f>
        <v>325601</v>
      </c>
      <c r="N29" s="579">
        <v>325601</v>
      </c>
      <c r="P29" s="44"/>
    </row>
    <row r="30" spans="2:16" x14ac:dyDescent="0.2">
      <c r="B30" s="15">
        <v>10</v>
      </c>
      <c r="C30" s="361" t="str">
        <f>VLOOKUP( $B30, T_Aop[], 5, 1)</f>
        <v>021, dio 029</v>
      </c>
      <c r="D30" s="621" t="str">
        <f>VLOOKUP( $B30, T_Aop[], 6, 1)</f>
        <v xml:space="preserve">    2. Građevinski objekti</v>
      </c>
      <c r="E30" s="622"/>
      <c r="F30" s="622"/>
      <c r="G30" s="622"/>
      <c r="H30" s="623"/>
      <c r="I30" s="122">
        <f>VLOOKUP( $B30, T_Aop[], 4, 1)</f>
        <v>10</v>
      </c>
      <c r="J30" s="155"/>
      <c r="K30" s="155">
        <v>44619863</v>
      </c>
      <c r="L30" s="155">
        <v>18351661</v>
      </c>
      <c r="M30" s="152">
        <f>IF(AND([0]!Godina=2024,MID(Osnovni_podaci!D20,3,1)="e",Osnovni_podaci!L24=5,Osnovni_podaci!G24=0,MID(Osnovni_podaci!D20,3,1)="e",MID(Osnovni_podaci!D20,8,1)="d"),SUM(K30,-L30),A1)</f>
        <v>26268202</v>
      </c>
      <c r="N30" s="576">
        <v>25510716</v>
      </c>
      <c r="P30" s="44"/>
    </row>
    <row r="31" spans="2:16" x14ac:dyDescent="0.2">
      <c r="B31" s="15">
        <v>11</v>
      </c>
      <c r="C31" s="360" t="str">
        <f>VLOOKUP( $B31, T_Aop[], 5, 1)</f>
        <v>022, dio 029</v>
      </c>
      <c r="D31" s="618" t="str">
        <f>VLOOKUP( $B31, T_Aop[], 6, 1)</f>
        <v xml:space="preserve">    3. Postrojenja i oprema</v>
      </c>
      <c r="E31" s="619"/>
      <c r="F31" s="619"/>
      <c r="G31" s="619"/>
      <c r="H31" s="620"/>
      <c r="I31" s="121">
        <f>VLOOKUP( $B31, T_Aop[], 4, 1)</f>
        <v>11</v>
      </c>
      <c r="J31" s="157"/>
      <c r="K31" s="157">
        <v>251176801</v>
      </c>
      <c r="L31" s="157">
        <v>179815405</v>
      </c>
      <c r="M31" s="151">
        <f>IF(AND([0]!Godina=2024,MID(Osnovni_podaci!D20,3,1)="e",Osnovni_podaci!L24=5,Osnovni_podaci!G24=0,MID(Osnovni_podaci!D20,3,1)="e",MID(Osnovni_podaci!D20,8,1)="d"),SUM(K31,-L31),A1)</f>
        <v>71361396</v>
      </c>
      <c r="N31" s="579">
        <v>71667490</v>
      </c>
      <c r="P31" s="44"/>
    </row>
    <row r="32" spans="2:16" x14ac:dyDescent="0.2">
      <c r="B32" s="15">
        <v>12</v>
      </c>
      <c r="C32" s="361" t="str">
        <f>VLOOKUP( $B32, T_Aop[], 5, 1)</f>
        <v>023, dio 029</v>
      </c>
      <c r="D32" s="621" t="str">
        <f>VLOOKUP( $B32, T_Aop[], 6, 1)</f>
        <v xml:space="preserve">    4. Ostale nekretnine, postrojenja i oprema</v>
      </c>
      <c r="E32" s="622"/>
      <c r="F32" s="622"/>
      <c r="G32" s="622"/>
      <c r="H32" s="623"/>
      <c r="I32" s="122">
        <f>VLOOKUP( $B32, T_Aop[], 4, 1)</f>
        <v>12</v>
      </c>
      <c r="J32" s="155"/>
      <c r="K32" s="155">
        <v>16731</v>
      </c>
      <c r="L32" s="155"/>
      <c r="M32" s="152">
        <f>IF(AND([0]!Godina=2024,MID(Osnovni_podaci!D20,3,1)="e",Osnovni_podaci!L24=5,Osnovni_podaci!G24=0,MID(Osnovni_podaci!D20,3,1)="e",MID(Osnovni_podaci!D20,8,1)="d"),SUM(K32,-L32),A1)</f>
        <v>16731</v>
      </c>
      <c r="N32" s="576">
        <v>16731</v>
      </c>
      <c r="P32" s="44"/>
    </row>
    <row r="33" spans="2:16" x14ac:dyDescent="0.2">
      <c r="B33" s="15">
        <v>13</v>
      </c>
      <c r="C33" s="360" t="str">
        <f>VLOOKUP( $B33, T_Aop[], 5, 1)</f>
        <v>024, dio 029</v>
      </c>
      <c r="D33" s="618" t="str">
        <f>VLOOKUP( $B33, T_Aop[], 6, 1)</f>
        <v xml:space="preserve">    5. Ulaganje na tuđim nekretninama, postrojenjima i opremi</v>
      </c>
      <c r="E33" s="619"/>
      <c r="F33" s="619"/>
      <c r="G33" s="619"/>
      <c r="H33" s="620"/>
      <c r="I33" s="121">
        <f>VLOOKUP( $B33, T_Aop[], 4, 1)</f>
        <v>13</v>
      </c>
      <c r="J33" s="157"/>
      <c r="K33" s="157"/>
      <c r="L33" s="157"/>
      <c r="M33" s="151">
        <f>IF(AND([0]!Godina=2024,MID(Osnovni_podaci!D20,3,1)="e",Osnovni_podaci!L24=5,Osnovni_podaci!G24=0,MID(Osnovni_podaci!D20,3,1)="e",MID(Osnovni_podaci!D20,8,1)="d"),SUM(K33,-L33),A1)</f>
        <v>0</v>
      </c>
      <c r="N33" s="579">
        <v>0</v>
      </c>
      <c r="P33" s="44"/>
    </row>
    <row r="34" spans="2:16" x14ac:dyDescent="0.2">
      <c r="B34" s="15">
        <v>14</v>
      </c>
      <c r="C34" s="361" t="str">
        <f>VLOOKUP( $B34, T_Aop[], 5, 1)</f>
        <v>025, 026, dio 029</v>
      </c>
      <c r="D34" s="621" t="str">
        <f>VLOOKUP( $B34, T_Aop[], 6, 1)</f>
        <v xml:space="preserve">    6. Avansi i nekretnine, postrojenja i oprema u pripremi</v>
      </c>
      <c r="E34" s="622"/>
      <c r="F34" s="622"/>
      <c r="G34" s="622"/>
      <c r="H34" s="623"/>
      <c r="I34" s="122">
        <f>VLOOKUP( $B34, T_Aop[], 4, 1)</f>
        <v>14</v>
      </c>
      <c r="J34" s="155"/>
      <c r="K34" s="155">
        <v>9846146</v>
      </c>
      <c r="L34" s="155"/>
      <c r="M34" s="152">
        <f>IF(AND([0]!Godina=2024,MID(Osnovni_podaci!D20,3,1)="e",Osnovni_podaci!L24=5,Osnovni_podaci!G24=0,MID(Osnovni_podaci!D20,3,1)="e",MID(Osnovni_podaci!D20,8,1)="d"),SUM(K34,-L34),A1)</f>
        <v>9846146</v>
      </c>
      <c r="N34" s="576">
        <v>10220708</v>
      </c>
      <c r="P34" s="44"/>
    </row>
    <row r="35" spans="2:16" ht="12.75" customHeight="1" x14ac:dyDescent="0.2">
      <c r="B35" s="15">
        <v>15</v>
      </c>
      <c r="C35" s="360" t="str">
        <f>VLOOKUP( $B35, T_Aop[], 5, 1)</f>
        <v>03</v>
      </c>
      <c r="D35" s="626" t="str">
        <f>VLOOKUP( $B35, T_Aop[], 6, 1)</f>
        <v xml:space="preserve">  III INVESTICIONE NEKRETNINE</v>
      </c>
      <c r="E35" s="627"/>
      <c r="F35" s="627"/>
      <c r="G35" s="627"/>
      <c r="H35" s="628"/>
      <c r="I35" s="170">
        <f>VLOOKUP( $B35, T_Aop[], 4, 1)</f>
        <v>15</v>
      </c>
      <c r="J35" s="157"/>
      <c r="K35" s="202">
        <v>413264</v>
      </c>
      <c r="L35" s="202">
        <v>4424</v>
      </c>
      <c r="M35" s="32">
        <f>IF(AND([0]!Godina=2024,MID(Osnovni_podaci!D20,3,1)="e",Osnovni_podaci!L24=5,Osnovni_podaci!G24=0,MID(Osnovni_podaci!D20,3,1)="e",MID(Osnovni_podaci!D20,8,1)="d"),SUM(K35,-L35),A1)</f>
        <v>408840</v>
      </c>
      <c r="N35" s="580">
        <v>500376</v>
      </c>
      <c r="P35" s="44"/>
    </row>
    <row r="36" spans="2:16" x14ac:dyDescent="0.2">
      <c r="B36" s="15">
        <v>16</v>
      </c>
      <c r="C36" s="361" t="str">
        <f>VLOOKUP( $B36, T_Aop[], 5, 1)</f>
        <v>04</v>
      </c>
      <c r="D36" s="629" t="str">
        <f>VLOOKUP( $B36, T_Aop[], 6, 1)</f>
        <v xml:space="preserve">  IV SREDSTVA UZETA U ZAKUP </v>
      </c>
      <c r="E36" s="630"/>
      <c r="F36" s="630"/>
      <c r="G36" s="630"/>
      <c r="H36" s="631"/>
      <c r="I36" s="171">
        <f>VLOOKUP( $B36, T_Aop[], 4, 1)</f>
        <v>16</v>
      </c>
      <c r="J36" s="155"/>
      <c r="K36" s="81">
        <v>201025.02</v>
      </c>
      <c r="L36" s="81">
        <v>18427</v>
      </c>
      <c r="M36" s="31">
        <f>IF(AND([0]!Godina=2024,MID(Osnovni_podaci!D20,3,1)="e",Osnovni_podaci!L24=5,Osnovni_podaci!G24=0,MID(Osnovni_podaci!D20,3,1)="e",MID(Osnovni_podaci!D20,8,1)="d"),SUM(K36,-L36),A1)</f>
        <v>182598.02</v>
      </c>
      <c r="N36" s="581">
        <v>197675</v>
      </c>
      <c r="P36" s="44"/>
    </row>
    <row r="37" spans="2:16" x14ac:dyDescent="0.2">
      <c r="B37" s="15">
        <v>17</v>
      </c>
      <c r="C37" s="360" t="str">
        <f>VLOOKUP( $B37, T_Aop[], 5, 1)</f>
        <v>05</v>
      </c>
      <c r="D37" s="626" t="str">
        <f>VLOOKUP( $B37, T_Aop[], 6, 1)</f>
        <v xml:space="preserve">  V BIOLOŠKA SREDSTVA   (018 do 021)</v>
      </c>
      <c r="E37" s="627"/>
      <c r="F37" s="627"/>
      <c r="G37" s="627"/>
      <c r="H37" s="628"/>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21" t="str">
        <f>VLOOKUP( $B38, T_Aop[], 6, 1)</f>
        <v xml:space="preserve">    1. Šume</v>
      </c>
      <c r="E38" s="622"/>
      <c r="F38" s="622"/>
      <c r="G38" s="622"/>
      <c r="H38" s="623"/>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18" t="str">
        <f>VLOOKUP( $B39, T_Aop[], 6, 1)</f>
        <v xml:space="preserve">    2. Višegodišnji zasadi</v>
      </c>
      <c r="E39" s="619"/>
      <c r="F39" s="619"/>
      <c r="G39" s="619"/>
      <c r="H39" s="620"/>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21" t="str">
        <f>VLOOKUP( $B40, T_Aop[], 6, 1)</f>
        <v xml:space="preserve">    3. Osnovno stado i ostala biološka sredstva</v>
      </c>
      <c r="E40" s="622"/>
      <c r="F40" s="622"/>
      <c r="G40" s="622"/>
      <c r="H40" s="623"/>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18" t="str">
        <f>VLOOKUP( $B41, T_Aop[], 6, 1)</f>
        <v xml:space="preserve">    4. Avansi i biološka sredstva u pripremi </v>
      </c>
      <c r="E41" s="619"/>
      <c r="F41" s="619"/>
      <c r="G41" s="619"/>
      <c r="H41" s="620"/>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29" t="str">
        <f>VLOOKUP( $B42, T_Aop[], 6, 1)</f>
        <v xml:space="preserve">  VI  DUGOROČNI FINANSIJSKI PLASMANI (023+024+025+030+033)</v>
      </c>
      <c r="E42" s="630"/>
      <c r="F42" s="630"/>
      <c r="G42" s="630"/>
      <c r="H42" s="631"/>
      <c r="I42" s="171">
        <f>VLOOKUP( $B42, T_Aop[], 4, 1)</f>
        <v>22</v>
      </c>
      <c r="J42" s="155"/>
      <c r="K42" s="31">
        <f>SUBTOTAL(9,K43:K53)</f>
        <v>21426944</v>
      </c>
      <c r="L42" s="31">
        <f>SUBTOTAL(9,L43:L53)</f>
        <v>899005</v>
      </c>
      <c r="M42" s="31">
        <f>IF(AND([0]!Godina=2024,MID(Osnovni_podaci!D20,3,1)="e",Osnovni_podaci!L24=5,Osnovni_podaci!G24=0,MID(Osnovni_podaci!D20,3,1)="e",MID(Osnovni_podaci!D20,8,1)="d"),SUM(K42,-L42),A1)</f>
        <v>20527939</v>
      </c>
      <c r="N42" s="34">
        <f>IF(AND([0]!Godina=2024,MID(Osnovni_podaci!D20,3,1)="e",Osnovni_podaci!L24=5,Osnovni_podaci!G24=0,MID(Osnovni_podaci!D20,3,1)="e",MID(Osnovni_podaci!D20,8,1)="d"),SUBTOTAL(9,N43:N53),A1)</f>
        <v>20535542</v>
      </c>
      <c r="P42" s="44"/>
    </row>
    <row r="43" spans="2:16" x14ac:dyDescent="0.2">
      <c r="B43" s="15">
        <v>23</v>
      </c>
      <c r="C43" s="360" t="str">
        <f>VLOOKUP( $B43, T_Aop[], 5, 1)</f>
        <v>060, dio 069</v>
      </c>
      <c r="D43" s="618" t="str">
        <f>VLOOKUP( $B43, T_Aop[], 6, 1)</f>
        <v xml:space="preserve">    1. Učešće u kapitalu zavisnih subjekata</v>
      </c>
      <c r="E43" s="619"/>
      <c r="F43" s="619"/>
      <c r="G43" s="619"/>
      <c r="H43" s="620"/>
      <c r="I43" s="121">
        <f>VLOOKUP( $B43, T_Aop[], 4, 1)</f>
        <v>23</v>
      </c>
      <c r="J43" s="157"/>
      <c r="K43" s="157">
        <v>20480669</v>
      </c>
      <c r="L43" s="157"/>
      <c r="M43" s="151">
        <f>IF(AND([0]!Godina=2024,MID(Osnovni_podaci!D20,3,1)="e",Osnovni_podaci!L24=5,Osnovni_podaci!G24=0,MID(Osnovni_podaci!D20,3,1)="e",MID(Osnovni_podaci!D20,8,1)="d"),SUM(K43,-L43),A1)</f>
        <v>20480669</v>
      </c>
      <c r="N43" s="193">
        <v>20480669</v>
      </c>
      <c r="P43" s="44"/>
    </row>
    <row r="44" spans="2:16" x14ac:dyDescent="0.2">
      <c r="B44" s="15">
        <v>24</v>
      </c>
      <c r="C44" s="361" t="str">
        <f>VLOOKUP( $B44, T_Aop[], 5, 1)</f>
        <v>061, dio 069</v>
      </c>
      <c r="D44" s="621" t="str">
        <f>VLOOKUP( $B44, T_Aop[], 6, 1)</f>
        <v xml:space="preserve">    2. Učešće u kapitalu pridruženih subjekata i zajedničkih poduhvata</v>
      </c>
      <c r="E44" s="622"/>
      <c r="F44" s="622"/>
      <c r="G44" s="622"/>
      <c r="H44" s="623"/>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18" t="str">
        <f>VLOOKUP( $B45, T_Aop[], 6, 1)</f>
        <v xml:space="preserve">    3. Finansijska sredstva po amortizovanoj vrijednosti (026 do 029)</v>
      </c>
      <c r="E45" s="619"/>
      <c r="F45" s="619"/>
      <c r="G45" s="619"/>
      <c r="H45" s="620"/>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21" t="str">
        <f>VLOOKUP( $B46, T_Aop[], 6, 1)</f>
        <v xml:space="preserve">      3.1. Dugoročni krediti povezanim pravnim licima</v>
      </c>
      <c r="E46" s="622"/>
      <c r="F46" s="622"/>
      <c r="G46" s="622"/>
      <c r="H46" s="623"/>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18" t="str">
        <f>VLOOKUP( $B47, T_Aop[], 6, 1)</f>
        <v xml:space="preserve">      3.2. Dugoročni krediti u zemlji</v>
      </c>
      <c r="E47" s="619"/>
      <c r="F47" s="619"/>
      <c r="G47" s="619"/>
      <c r="H47" s="620"/>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21" t="str">
        <f>VLOOKUP( $B48, T_Aop[], 6, 1)</f>
        <v xml:space="preserve">      3.3. Dugoročni krediti u inostranstvu</v>
      </c>
      <c r="E48" s="622"/>
      <c r="F48" s="622"/>
      <c r="G48" s="622"/>
      <c r="H48" s="623"/>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18" t="str">
        <f>VLOOKUP( $B49, T_Aop[], 6, 1)</f>
        <v xml:space="preserve">      3.4. Ostala finansijska sredstva po amortizovanoj vrijednosti</v>
      </c>
      <c r="E49" s="619"/>
      <c r="F49" s="619"/>
      <c r="G49" s="619"/>
      <c r="H49" s="620"/>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21" t="str">
        <f>VLOOKUP( $B50, T_Aop[], 6, 1)</f>
        <v xml:space="preserve">    4. Finansijska sredstva po fer vrijednosti kroz ostali ukupan rezultat (031+032)</v>
      </c>
      <c r="E50" s="622"/>
      <c r="F50" s="622"/>
      <c r="G50" s="622"/>
      <c r="H50" s="623"/>
      <c r="I50" s="122">
        <f>VLOOKUP( $B50, T_Aop[], 4, 1)</f>
        <v>30</v>
      </c>
      <c r="J50" s="155"/>
      <c r="K50" s="388">
        <f>SUBTOTAL( 9, K51:K52)</f>
        <v>47270</v>
      </c>
      <c r="L50" s="388">
        <f>SUBTOTAL( 9, L51:L52)</f>
        <v>0</v>
      </c>
      <c r="M50" s="31">
        <f>IF(AND([0]!Godina=2024,MID(Osnovni_podaci!D20,3,1)="e",Osnovni_podaci!L24=5,Osnovni_podaci!G24=0,MID(Osnovni_podaci!D20,3,1)="e",MID(Osnovni_podaci!D20,8,1)="d"),SUM(K50,-L50),A1)</f>
        <v>47270</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18" t="str">
        <f>VLOOKUP( $B51, T_Aop[], 6, 1)</f>
        <v xml:space="preserve">      4.1. Vlasnički instrumenti</v>
      </c>
      <c r="E51" s="619"/>
      <c r="F51" s="619"/>
      <c r="G51" s="619"/>
      <c r="H51" s="620"/>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21" t="str">
        <f>VLOOKUP( $B52, T_Aop[], 6, 1)</f>
        <v xml:space="preserve">      4.2. Dužnički instrumenti</v>
      </c>
      <c r="E52" s="622"/>
      <c r="F52" s="622"/>
      <c r="G52" s="622"/>
      <c r="H52" s="623"/>
      <c r="I52" s="122">
        <f>VLOOKUP( $B52, T_Aop[], 4, 1)</f>
        <v>32</v>
      </c>
      <c r="J52" s="155"/>
      <c r="K52" s="155">
        <v>47270</v>
      </c>
      <c r="L52" s="155"/>
      <c r="M52" s="152">
        <f>IF(AND([0]!Godina=2024,MID(Osnovni_podaci!D20,3,1)="e",Osnovni_podaci!L24=5,Osnovni_podaci!G24=0,MID(Osnovni_podaci!D20,3,1)="e",MID(Osnovni_podaci!D20,8,1)="d"),SUM(K52,-L52),A1)</f>
        <v>47270</v>
      </c>
      <c r="N52" s="576">
        <v>54873</v>
      </c>
      <c r="P52" s="44"/>
    </row>
    <row r="53" spans="2:16" x14ac:dyDescent="0.2">
      <c r="B53" s="15">
        <v>33</v>
      </c>
      <c r="C53" s="360" t="str">
        <f>VLOOKUP( $B53, T_Aop[], 5, 1)</f>
        <v>068, dio 069</v>
      </c>
      <c r="D53" s="618" t="str">
        <f>VLOOKUP( $B53, T_Aop[], 6, 1)</f>
        <v xml:space="preserve">    5. Potraživanja po finansijskom lizingu</v>
      </c>
      <c r="E53" s="619"/>
      <c r="F53" s="619"/>
      <c r="G53" s="619"/>
      <c r="H53" s="620"/>
      <c r="I53" s="121">
        <f>VLOOKUP( $B53, T_Aop[], 4, 1)</f>
        <v>33</v>
      </c>
      <c r="J53" s="157"/>
      <c r="K53" s="237"/>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29" t="str">
        <f>VLOOKUP( $B54, T_Aop[], 6, 1)</f>
        <v xml:space="preserve">  VII OSTALA DUGOROČNA SREDSTVA I RAZGRANIČENJA</v>
      </c>
      <c r="E54" s="630"/>
      <c r="F54" s="630"/>
      <c r="G54" s="630"/>
      <c r="H54" s="631"/>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26" t="str">
        <f>VLOOKUP( $B55, T_Aop[], 6, 1)</f>
        <v xml:space="preserve">  B. ODLOŽENA PORESKA SREDSTVA</v>
      </c>
      <c r="E55" s="627"/>
      <c r="F55" s="627"/>
      <c r="G55" s="627"/>
      <c r="H55" s="628"/>
      <c r="I55" s="170">
        <f>VLOOKUP( $B55, T_Aop[], 4, 1)</f>
        <v>35</v>
      </c>
      <c r="J55" s="157"/>
      <c r="K55" s="202">
        <v>120285</v>
      </c>
      <c r="L55" s="202"/>
      <c r="M55" s="32">
        <f>IF(AND([0]!Godina=2024,MID(Osnovni_podaci!D20,3,1)="e",Osnovni_podaci!L24=5,Osnovni_podaci!G24=0,MID(Osnovni_podaci!D20,3,1)="e",MID(Osnovni_podaci!D20,8,1)="d"),SUM(K55,-L55),A1)</f>
        <v>120285</v>
      </c>
      <c r="N55" s="580">
        <v>120285</v>
      </c>
      <c r="P55" s="44"/>
    </row>
    <row r="56" spans="2:16" x14ac:dyDescent="0.2">
      <c r="B56" s="15">
        <v>36</v>
      </c>
      <c r="C56" s="361" t="str">
        <f>VLOOKUP( $B56, T_Aop[], 5, 1)</f>
        <v xml:space="preserve"> </v>
      </c>
      <c r="D56" s="629" t="str">
        <f>VLOOKUP( $B56, T_Aop[], 6, 1)</f>
        <v xml:space="preserve">  V. TEKUĆA SREDSTVA (037+044)</v>
      </c>
      <c r="E56" s="630"/>
      <c r="F56" s="630"/>
      <c r="G56" s="630"/>
      <c r="H56" s="631"/>
      <c r="I56" s="171">
        <f>VLOOKUP( $B56, T_Aop[], 4, 1)</f>
        <v>36</v>
      </c>
      <c r="J56" s="155"/>
      <c r="K56" s="430">
        <f>SUBTOTAL( 9, K57:K85)</f>
        <v>63114464</v>
      </c>
      <c r="L56" s="430">
        <f>SUBTOTAL( 9, L57:L85)</f>
        <v>49644366</v>
      </c>
      <c r="M56" s="430">
        <f>IF(AND([0]!Godina=2024,MID(Osnovni_podaci!D20,3,1)="e",Osnovni_podaci!L24=5,Osnovni_podaci!G24=0,MID(Osnovni_podaci!D20,3,1)="e",MID(Osnovni_podaci!D20,8,1)="d"),SUM(K56,-L56),A1)</f>
        <v>13470098</v>
      </c>
      <c r="N56" s="431">
        <f>IF(AND([0]!Godina=2024,MID(Osnovni_podaci!D20,3,1)="e",Osnovni_podaci!L24=5,Osnovni_podaci!G24=0,MID(Osnovni_podaci!D20,3,1)="e",MID(Osnovni_podaci!D20,8,1)="d"),SUBTOTAL( 9, N57:N85),A1)</f>
        <v>11336884</v>
      </c>
      <c r="P56" s="44"/>
    </row>
    <row r="57" spans="2:16" ht="25.5" customHeight="1" x14ac:dyDescent="0.2">
      <c r="B57" s="15">
        <v>37</v>
      </c>
      <c r="C57" s="360" t="str">
        <f>VLOOKUP( $B57, T_Aop[], 5, 1)</f>
        <v>10 do 15</v>
      </c>
      <c r="D57" s="626" t="str">
        <f>VLOOKUP( $B57, T_Aop[], 6, 1)</f>
        <v xml:space="preserve">  I   ZALIHE, STALNA SREDSTVA NAMIJENJENA PRODAJI I SREDSTVA POSLOVANJA KOJE SE OBUSTAVLJA (038 do 043)</v>
      </c>
      <c r="E57" s="627"/>
      <c r="F57" s="627"/>
      <c r="G57" s="627"/>
      <c r="H57" s="628"/>
      <c r="I57" s="170">
        <f>VLOOKUP( $B57, T_Aop[], 4, 1)</f>
        <v>37</v>
      </c>
      <c r="J57" s="157"/>
      <c r="K57" s="393">
        <f>SUBTOTAL(9,K58:K63)</f>
        <v>5143109</v>
      </c>
      <c r="L57" s="392">
        <f>SUBTOTAL(9,L58:L63)</f>
        <v>1306088</v>
      </c>
      <c r="M57" s="32">
        <f>IF(AND([0]!Godina=2024,MID(Osnovni_podaci!D20,3,1)="e",Osnovni_podaci!L24=5,Osnovni_podaci!G24=0,MID(Osnovni_podaci!D20,3,1)="e",MID(Osnovni_podaci!D20,8,1)="d"),SUM(K57,-L57),A1)</f>
        <v>3837021</v>
      </c>
      <c r="N57" s="389">
        <f>IF(AND([0]!Godina=2024,MID(Osnovni_podaci!D20,3,1)="e",Osnovni_podaci!L24=5,Osnovni_podaci!G24=0,MID(Osnovni_podaci!D20,3,1)="e",MID(Osnovni_podaci!D20,8,1)="d"),SUBTOTAL(9,N58:N63),A1)</f>
        <v>3398987</v>
      </c>
      <c r="P57" s="44"/>
    </row>
    <row r="58" spans="2:16" x14ac:dyDescent="0.2">
      <c r="B58" s="15">
        <v>38</v>
      </c>
      <c r="C58" s="361" t="str">
        <f>VLOOKUP( $B58, T_Aop[], 5, 1)</f>
        <v>100 do 109</v>
      </c>
      <c r="D58" s="621" t="str">
        <f>VLOOKUP( $B58, T_Aop[], 6, 1)</f>
        <v xml:space="preserve">    1. Zalihe materijala</v>
      </c>
      <c r="E58" s="622"/>
      <c r="F58" s="622"/>
      <c r="G58" s="622"/>
      <c r="H58" s="623"/>
      <c r="I58" s="122">
        <f>VLOOKUP( $B58, T_Aop[], 4, 1)</f>
        <v>38</v>
      </c>
      <c r="J58" s="155"/>
      <c r="K58" s="155">
        <v>5048467</v>
      </c>
      <c r="L58" s="155">
        <v>1229761</v>
      </c>
      <c r="M58" s="152">
        <f>IF(AND([0]!Godina=2024,MID(Osnovni_podaci!D20,3,1)="e",Osnovni_podaci!L24=5,Osnovni_podaci!G24=0,MID(Osnovni_podaci!D20,3,1)="e",MID(Osnovni_podaci!D20,8,1)="d"),SUM(K58,-L58),A1)</f>
        <v>3818706</v>
      </c>
      <c r="N58" s="576">
        <v>3380672</v>
      </c>
      <c r="P58" s="44"/>
    </row>
    <row r="59" spans="2:16" x14ac:dyDescent="0.2">
      <c r="B59" s="15">
        <v>39</v>
      </c>
      <c r="C59" s="360" t="str">
        <f>VLOOKUP( $B59, T_Aop[], 5, 1)</f>
        <v>110 do 119</v>
      </c>
      <c r="D59" s="618" t="str">
        <f>VLOOKUP( $B59, T_Aop[], 6, 1)</f>
        <v xml:space="preserve">    2. Zalihe nedovršene proizvodnje, poluproizvoda i nedovršenih usluga</v>
      </c>
      <c r="E59" s="619"/>
      <c r="F59" s="619"/>
      <c r="G59" s="619"/>
      <c r="H59" s="620"/>
      <c r="I59" s="121">
        <f>VLOOKUP( $B59, T_Aop[], 4, 1)</f>
        <v>39</v>
      </c>
      <c r="J59" s="157"/>
      <c r="K59" s="157"/>
      <c r="L59" s="157"/>
      <c r="M59" s="151">
        <f>IF(AND([0]!Godina=2024,MID(Osnovni_podaci!D20,3,1)="e",Osnovni_podaci!L24=5,Osnovni_podaci!G24=0,MID(Osnovni_podaci!D20,3,1)="e",MID(Osnovni_podaci!D20,8,1)="d"),SUM(K59,-L59),A1)</f>
        <v>0</v>
      </c>
      <c r="N59" s="579">
        <v>0</v>
      </c>
      <c r="P59" s="44"/>
    </row>
    <row r="60" spans="2:16" x14ac:dyDescent="0.2">
      <c r="B60" s="15">
        <v>40</v>
      </c>
      <c r="C60" s="361" t="str">
        <f>VLOOKUP( $B60, T_Aop[], 5, 1)</f>
        <v>120 do 129</v>
      </c>
      <c r="D60" s="621" t="str">
        <f>VLOOKUP( $B60, T_Aop[], 6, 1)</f>
        <v xml:space="preserve">    3. Zalihe gotovih proizvoda</v>
      </c>
      <c r="E60" s="622"/>
      <c r="F60" s="622"/>
      <c r="G60" s="622"/>
      <c r="H60" s="623"/>
      <c r="I60" s="122">
        <f>VLOOKUP( $B60, T_Aop[], 4, 1)</f>
        <v>40</v>
      </c>
      <c r="J60" s="155"/>
      <c r="K60" s="155"/>
      <c r="L60" s="155"/>
      <c r="M60" s="152">
        <f>IF(AND([0]!Godina=2024,MID(Osnovni_podaci!D20,3,1)="e",Osnovni_podaci!L24=5,Osnovni_podaci!G24=0,MID(Osnovni_podaci!D20,3,1)="e",MID(Osnovni_podaci!D20,8,1)="d"),SUM(K60,-L60),A1)</f>
        <v>0</v>
      </c>
      <c r="N60" s="576">
        <v>0</v>
      </c>
      <c r="P60" s="44"/>
    </row>
    <row r="61" spans="2:16" s="27" customFormat="1" x14ac:dyDescent="0.2">
      <c r="B61" s="15">
        <v>41</v>
      </c>
      <c r="C61" s="360" t="str">
        <f>VLOOKUP( $B61, T_Aop[], 5, 1)</f>
        <v>130 do 139</v>
      </c>
      <c r="D61" s="618" t="str">
        <f>VLOOKUP( $B61, T_Aop[], 6, 1)</f>
        <v xml:space="preserve">    4. Zalihe robe</v>
      </c>
      <c r="E61" s="619"/>
      <c r="F61" s="619"/>
      <c r="G61" s="619"/>
      <c r="H61" s="620"/>
      <c r="I61" s="121">
        <f>VLOOKUP( $B61, T_Aop[], 4, 1)</f>
        <v>41</v>
      </c>
      <c r="J61" s="157"/>
      <c r="K61" s="157"/>
      <c r="L61" s="157"/>
      <c r="M61" s="151">
        <f>IF(AND([0]!Godina=2024,MID(Osnovni_podaci!D20,3,1)="e",Osnovni_podaci!L24=5,Osnovni_podaci!G24=0,MID(Osnovni_podaci!D20,3,1)="e",MID(Osnovni_podaci!D20,8,1)="d"),SUM(K61,-L61),A1)</f>
        <v>0</v>
      </c>
      <c r="N61" s="579">
        <v>0</v>
      </c>
      <c r="P61" s="174"/>
    </row>
    <row r="62" spans="2:16" x14ac:dyDescent="0.2">
      <c r="B62" s="15">
        <v>42</v>
      </c>
      <c r="C62" s="361" t="str">
        <f>VLOOKUP( $B62, T_Aop[], 5, 1)</f>
        <v>140 do 149</v>
      </c>
      <c r="D62" s="621" t="str">
        <f>VLOOKUP( $B62, T_Aop[], 6, 1)</f>
        <v xml:space="preserve">    5. Stalna sredstva namijenjena prodaji i sredstva poslovanja koje se obustavlja</v>
      </c>
      <c r="E62" s="622"/>
      <c r="F62" s="622"/>
      <c r="G62" s="622"/>
      <c r="H62" s="623"/>
      <c r="I62" s="122">
        <f>VLOOKUP( $B62, T_Aop[], 4, 1)</f>
        <v>42</v>
      </c>
      <c r="J62" s="155"/>
      <c r="K62" s="155"/>
      <c r="L62" s="155"/>
      <c r="M62" s="152">
        <f>IF(AND([0]!Godina=2024,MID(Osnovni_podaci!D20,3,1)="e",Osnovni_podaci!L24=5,Osnovni_podaci!G24=0,MID(Osnovni_podaci!D20,3,1)="e",MID(Osnovni_podaci!D20,8,1)="d"),SUM(K62,-L62),A1)</f>
        <v>0</v>
      </c>
      <c r="N62" s="576">
        <v>0</v>
      </c>
      <c r="P62" s="44"/>
    </row>
    <row r="63" spans="2:16" x14ac:dyDescent="0.2">
      <c r="B63" s="15">
        <v>43</v>
      </c>
      <c r="C63" s="360" t="str">
        <f>VLOOKUP( $B63, T_Aop[], 5, 1)</f>
        <v>150 do 159</v>
      </c>
      <c r="D63" s="618" t="str">
        <f>VLOOKUP( $B63, T_Aop[], 6, 1)</f>
        <v xml:space="preserve">    6. Dati avansi</v>
      </c>
      <c r="E63" s="619"/>
      <c r="F63" s="619"/>
      <c r="G63" s="619"/>
      <c r="H63" s="620"/>
      <c r="I63" s="121">
        <f>VLOOKUP( $B63, T_Aop[], 4, 1)</f>
        <v>43</v>
      </c>
      <c r="J63" s="157"/>
      <c r="K63" s="157">
        <v>94642</v>
      </c>
      <c r="L63" s="157">
        <v>76327</v>
      </c>
      <c r="M63" s="151">
        <f>IF(AND([0]!Godina=2024,MID(Osnovni_podaci!D20,3,1)="e",Osnovni_podaci!L24=5,Osnovni_podaci!G24=0,MID(Osnovni_podaci!D20,3,1)="e",MID(Osnovni_podaci!D20,8,1)="d"),SUM(K63,-L63),A1)</f>
        <v>18315</v>
      </c>
      <c r="N63" s="579">
        <v>18315</v>
      </c>
      <c r="P63" s="44"/>
    </row>
    <row r="64" spans="2:16" ht="23.25" customHeight="1" x14ac:dyDescent="0.2">
      <c r="B64" s="15">
        <v>44</v>
      </c>
      <c r="C64" s="361" t="str">
        <f>VLOOKUP( $B64, T_Aop[], 5, 1)</f>
        <v xml:space="preserve"> </v>
      </c>
      <c r="D64" s="629" t="str">
        <f>VLOOKUP( $B64, T_Aop[], 6, 1)</f>
        <v xml:space="preserve">  II  KRATKOROČNA SREDSTVA IZUZEV ZALIHA I STALNIH SREDSTAVA NAMIJENJENIH PRODAJI (045+052+061+064+065)</v>
      </c>
      <c r="E64" s="630"/>
      <c r="F64" s="630"/>
      <c r="G64" s="630"/>
      <c r="H64" s="631"/>
      <c r="I64" s="171">
        <f>VLOOKUP( $B64, T_Aop[], 4, 1)</f>
        <v>44</v>
      </c>
      <c r="J64" s="155"/>
      <c r="K64" s="430">
        <f>SUBTOTAL(9,K65:K85)</f>
        <v>57971355</v>
      </c>
      <c r="L64" s="430">
        <f>SUBTOTAL(9,L65:L85)</f>
        <v>48338278</v>
      </c>
      <c r="M64" s="430">
        <f>IF(AND([0]!Godina=2024,MID(Osnovni_podaci!D20,3,1)="e",Osnovni_podaci!L24=5,Osnovni_podaci!G24=0,MID(Osnovni_podaci!D20,3,1)="e",MID(Osnovni_podaci!D20,8,1)="d"),SUM(K64,-L64),A1)</f>
        <v>9633077</v>
      </c>
      <c r="N64" s="431">
        <f>IF(AND([0]!Godina=2024,MID(Osnovni_podaci!D20,3,1)="e",Osnovni_podaci!L24=5,Osnovni_podaci!G24=0,MID(Osnovni_podaci!D20,3,1)="e",MID(Osnovni_podaci!D20,8,1)="d"),SUBTOTAL(9,N65:N85),A1)</f>
        <v>7937897</v>
      </c>
      <c r="P64" s="44"/>
    </row>
    <row r="65" spans="2:16" x14ac:dyDescent="0.2">
      <c r="B65" s="15">
        <v>45</v>
      </c>
      <c r="C65" s="360" t="str">
        <f>VLOOKUP( $B65, T_Aop[], 5, 1)</f>
        <v xml:space="preserve"> </v>
      </c>
      <c r="D65" s="618" t="str">
        <f>VLOOKUP( $B65, T_Aop[], 6, 1)</f>
        <v xml:space="preserve">    1. Kratkoročna potraživanja (046 do 051)</v>
      </c>
      <c r="E65" s="619"/>
      <c r="F65" s="619"/>
      <c r="G65" s="619"/>
      <c r="H65" s="620"/>
      <c r="I65" s="121">
        <f>VLOOKUP( $B65, T_Aop[], 4, 1)</f>
        <v>45</v>
      </c>
      <c r="J65" s="157"/>
      <c r="K65" s="393">
        <f t="shared" ref="K65:L65" si="0">SUBTOTAL(9,K66:K71)</f>
        <v>54617638</v>
      </c>
      <c r="L65" s="393">
        <f t="shared" si="0"/>
        <v>48089298</v>
      </c>
      <c r="M65" s="393">
        <f>IF(AND([0]!Godina=2024,MID(Osnovni_podaci!D20,3,1)="e",Osnovni_podaci!L24=5,Osnovni_podaci!G24=0,MID(Osnovni_podaci!D20,3,1)="e",MID(Osnovni_podaci!D20,8,1)="d"),SUM(K65,-L65),A1)</f>
        <v>6528340</v>
      </c>
      <c r="N65" s="389">
        <f>IF(AND([0]!Godina=2024,MID(Osnovni_podaci!D20,3,1)="e",Osnovni_podaci!L24=5,Osnovni_podaci!G24=0,MID(Osnovni_podaci!D20,3,1)="e",MID(Osnovni_podaci!D20,8,1)="d"),SUBTOTAL(9,N66:N71),A1)</f>
        <v>3868915</v>
      </c>
      <c r="P65" s="44"/>
    </row>
    <row r="66" spans="2:16" x14ac:dyDescent="0.2">
      <c r="B66" s="15">
        <v>46</v>
      </c>
      <c r="C66" s="361" t="str">
        <f>VLOOKUP( $B66, T_Aop[], 5, 1)</f>
        <v>200, dio 209</v>
      </c>
      <c r="D66" s="621" t="str">
        <f>VLOOKUP( $B66, T_Aop[], 6, 1)</f>
        <v xml:space="preserve">      1.1. Kupci - povezana pravna lica</v>
      </c>
      <c r="E66" s="622"/>
      <c r="F66" s="622"/>
      <c r="G66" s="622"/>
      <c r="H66" s="623"/>
      <c r="I66" s="122">
        <f>VLOOKUP( $B66, T_Aop[], 4, 1)</f>
        <v>46</v>
      </c>
      <c r="J66" s="155"/>
      <c r="K66" s="155">
        <v>3798512</v>
      </c>
      <c r="L66" s="155">
        <v>35999</v>
      </c>
      <c r="M66" s="152">
        <f>IF(AND([0]!Godina=2024,MID(Osnovni_podaci!D20,3,1)="e",Osnovni_podaci!L24=5,Osnovni_podaci!G24=0,MID(Osnovni_podaci!D20,3,1)="e",MID(Osnovni_podaci!D20,8,1)="d"),SUM(K66,-L66),A1)</f>
        <v>3762513</v>
      </c>
      <c r="N66" s="576">
        <v>3563953</v>
      </c>
      <c r="P66" s="44"/>
    </row>
    <row r="67" spans="2:16" x14ac:dyDescent="0.2">
      <c r="B67" s="15">
        <v>47</v>
      </c>
      <c r="C67" s="360" t="str">
        <f>VLOOKUP( $B67, T_Aop[], 5, 1)</f>
        <v>201, 202, 203, dio 209</v>
      </c>
      <c r="D67" s="618" t="str">
        <f>VLOOKUP( $B67, T_Aop[], 6, 1)</f>
        <v xml:space="preserve">      1.2. Kupci u zemlji</v>
      </c>
      <c r="E67" s="619"/>
      <c r="F67" s="619"/>
      <c r="G67" s="619"/>
      <c r="H67" s="620"/>
      <c r="I67" s="121">
        <f>VLOOKUP( $B67, T_Aop[], 4, 1)</f>
        <v>47</v>
      </c>
      <c r="J67" s="157"/>
      <c r="K67" s="157">
        <v>40087729</v>
      </c>
      <c r="L67" s="157">
        <v>39953156</v>
      </c>
      <c r="M67" s="151">
        <f>IF(AND([0]!Godina=2024,MID(Osnovni_podaci!D20,3,1)="e",Osnovni_podaci!L24=5,Osnovni_podaci!G24=0,MID(Osnovni_podaci!D20,3,1)="e",MID(Osnovni_podaci!D20,8,1)="d"),SUM(K67,-L67),A1)</f>
        <v>134573</v>
      </c>
      <c r="N67" s="579">
        <v>119603</v>
      </c>
      <c r="P67" s="44"/>
    </row>
    <row r="68" spans="2:16" x14ac:dyDescent="0.2">
      <c r="B68" s="15">
        <v>48</v>
      </c>
      <c r="C68" s="361" t="str">
        <f>VLOOKUP( $B68, T_Aop[], 5, 1)</f>
        <v>204, dio 209</v>
      </c>
      <c r="D68" s="621" t="str">
        <f>VLOOKUP( $B68, T_Aop[], 6, 1)</f>
        <v xml:space="preserve">      1.3. Kupci iz inostranstva</v>
      </c>
      <c r="E68" s="622"/>
      <c r="F68" s="622"/>
      <c r="G68" s="622"/>
      <c r="H68" s="623"/>
      <c r="I68" s="122">
        <f>VLOOKUP( $B68, T_Aop[], 4, 1)</f>
        <v>48</v>
      </c>
      <c r="J68" s="155"/>
      <c r="K68" s="155"/>
      <c r="L68" s="155"/>
      <c r="M68" s="152">
        <f>IF(AND([0]!Godina=2024,MID(Osnovni_podaci!D20,3,1)="e",Osnovni_podaci!L24=5,Osnovni_podaci!G24=0,MID(Osnovni_podaci!D20,3,1)="e",MID(Osnovni_podaci!D20,8,1)="d"),SUM(K68,-L68),A1)</f>
        <v>0</v>
      </c>
      <c r="N68" s="576">
        <v>0</v>
      </c>
      <c r="P68" s="44"/>
    </row>
    <row r="69" spans="2:16" x14ac:dyDescent="0.2">
      <c r="B69" s="15">
        <v>49</v>
      </c>
      <c r="C69" s="360" t="str">
        <f>VLOOKUP( $B69, T_Aop[], 5, 1)</f>
        <v>grupa 21, osim 214</v>
      </c>
      <c r="D69" s="618" t="str">
        <f>VLOOKUP( $B69, T_Aop[], 6, 1)</f>
        <v xml:space="preserve">      1.4.Potraživanja iz specifičnih poslova</v>
      </c>
      <c r="E69" s="619"/>
      <c r="F69" s="619"/>
      <c r="G69" s="619"/>
      <c r="H69" s="620"/>
      <c r="I69" s="121">
        <f>VLOOKUP( $B69, T_Aop[], 4, 1)</f>
        <v>49</v>
      </c>
      <c r="J69" s="157"/>
      <c r="K69" s="157"/>
      <c r="L69" s="157"/>
      <c r="M69" s="151">
        <f>IF(AND([0]!Godina=2024,MID(Osnovni_podaci!D20,3,1)="e",Osnovni_podaci!L24=5,Osnovni_podaci!G24=0,MID(Osnovni_podaci!D20,3,1)="e",MID(Osnovni_podaci!D20,8,1)="d"),SUM(K69,-L69),A1)</f>
        <v>0</v>
      </c>
      <c r="N69" s="579">
        <v>0</v>
      </c>
      <c r="P69" s="44"/>
    </row>
    <row r="70" spans="2:16" x14ac:dyDescent="0.2">
      <c r="B70" s="15">
        <v>50</v>
      </c>
      <c r="C70" s="361" t="str">
        <f>VLOOKUP( $B70, T_Aop[], 5, 1)</f>
        <v>grupa 22, osim 224</v>
      </c>
      <c r="D70" s="621" t="str">
        <f>VLOOKUP( $B70, T_Aop[], 6, 1)</f>
        <v xml:space="preserve">      1.5. Ostala kratkoročna potraživanja</v>
      </c>
      <c r="E70" s="622"/>
      <c r="F70" s="622"/>
      <c r="G70" s="622"/>
      <c r="H70" s="623"/>
      <c r="I70" s="122">
        <f>VLOOKUP( $B70, T_Aop[], 4, 1)</f>
        <v>50</v>
      </c>
      <c r="J70" s="155"/>
      <c r="K70" s="155">
        <v>10731397</v>
      </c>
      <c r="L70" s="155">
        <v>8100143</v>
      </c>
      <c r="M70" s="152">
        <f>IF(AND([0]!Godina=2024,MID(Osnovni_podaci!D20,3,1)="e",Osnovni_podaci!L24=5,Osnovni_podaci!G24=0,MID(Osnovni_podaci!D20,3,1)="e",MID(Osnovni_podaci!D20,8,1)="d"),SUM(K70,-L70),A1)</f>
        <v>2631254</v>
      </c>
      <c r="N70" s="576">
        <v>185359</v>
      </c>
      <c r="P70" s="44"/>
    </row>
    <row r="71" spans="2:16" x14ac:dyDescent="0.2">
      <c r="B71" s="15">
        <v>51</v>
      </c>
      <c r="C71" s="360">
        <f>VLOOKUP( $B71, T_Aop[], 5, 1)</f>
        <v>224</v>
      </c>
      <c r="D71" s="618" t="str">
        <f>VLOOKUP( $B71, T_Aop[], 6, 1)</f>
        <v xml:space="preserve">      1.6. Potraživanja za više plaćen porez na dobit</v>
      </c>
      <c r="E71" s="619"/>
      <c r="F71" s="619"/>
      <c r="G71" s="619"/>
      <c r="H71" s="620"/>
      <c r="I71" s="121">
        <f>VLOOKUP( $B71, T_Aop[], 4, 1)</f>
        <v>51</v>
      </c>
      <c r="J71" s="157"/>
      <c r="K71" s="157"/>
      <c r="L71" s="157"/>
      <c r="M71" s="151">
        <f>IF(AND([0]!Godina=2024,MID(Osnovni_podaci!D20,3,1)="e",Osnovni_podaci!L24=5,Osnovni_podaci!G24=0,MID(Osnovni_podaci!D20,3,1)="e",MID(Osnovni_podaci!D20,8,1)="d"),SUM(K71,-L71),A1)</f>
        <v>0</v>
      </c>
      <c r="N71" s="394">
        <v>0</v>
      </c>
      <c r="P71" s="44"/>
    </row>
    <row r="72" spans="2:16" x14ac:dyDescent="0.2">
      <c r="B72" s="15">
        <v>52</v>
      </c>
      <c r="C72" s="361" t="str">
        <f>VLOOKUP( $B72, T_Aop[], 5, 1)</f>
        <v xml:space="preserve"> </v>
      </c>
      <c r="D72" s="621" t="str">
        <f>VLOOKUP( $B72, T_Aop[], 6, 1)</f>
        <v xml:space="preserve">    2. Kratkoročni finansijski plasmani ( 053 + 058 + 059 + 060)</v>
      </c>
      <c r="E72" s="622"/>
      <c r="F72" s="622"/>
      <c r="G72" s="622"/>
      <c r="H72" s="623"/>
      <c r="I72" s="122">
        <f>VLOOKUP( $B72, T_Aop[], 4, 1)</f>
        <v>52</v>
      </c>
      <c r="J72" s="155"/>
      <c r="K72" s="388">
        <f>IF(AND([0]!Godina=2024,MID(Osnovni_podaci!D20,3,1)="e",Osnovni_podaci!L24=5,Osnovni_podaci!G24=0,MID(Osnovni_podaci!D20,3,1)="e",MID(Osnovni_podaci!D20,8,1)="d"),SUBTOTAL(9,K73:K80),A1)</f>
        <v>258113</v>
      </c>
      <c r="L72" s="388">
        <f>SUBTOTAL(9,L73:L80)</f>
        <v>248980</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18" t="str">
        <f>VLOOKUP( $B73, T_Aop[], 6, 1)</f>
        <v xml:space="preserve">      2.1. Finansijska sredstva po amortizovanoj vrijednosti (054 do 057)</v>
      </c>
      <c r="E73" s="619"/>
      <c r="F73" s="619"/>
      <c r="G73" s="619"/>
      <c r="H73" s="620"/>
      <c r="I73" s="121">
        <f>VLOOKUP( $B73, T_Aop[], 4, 1)</f>
        <v>53</v>
      </c>
      <c r="J73" s="157"/>
      <c r="K73" s="32">
        <f>IF(AND([0]!Godina=2024,MID(Osnovni_podaci!D20,3,1)="e",Osnovni_podaci!L24=5,Osnovni_podaci!G24=0,MID(Osnovni_podaci!D20,3,1)="e",MID(Osnovni_podaci!D20,8,1)="d"),SUBTOTAL(9,K74:K77),A1)</f>
        <v>258113</v>
      </c>
      <c r="L73" s="32">
        <f>SUBTOTAL(9,L74:L77)</f>
        <v>248980</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21" t="str">
        <f>VLOOKUP( $B74, T_Aop[], 6, 1)</f>
        <v xml:space="preserve">        a) Kratkoročni krediti povezanim pravnim licima</v>
      </c>
      <c r="E74" s="622"/>
      <c r="F74" s="622"/>
      <c r="G74" s="622"/>
      <c r="H74" s="623"/>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18" t="str">
        <f>VLOOKUP( $B75, T_Aop[], 6, 1)</f>
        <v xml:space="preserve">        b) Kratkoročni krediti u zemlji</v>
      </c>
      <c r="E75" s="619"/>
      <c r="F75" s="619"/>
      <c r="G75" s="619"/>
      <c r="H75" s="620"/>
      <c r="I75" s="121">
        <f>VLOOKUP( $B75, T_Aop[], 4, 1)</f>
        <v>55</v>
      </c>
      <c r="J75" s="157"/>
      <c r="K75" s="157">
        <v>258113</v>
      </c>
      <c r="L75" s="157">
        <v>248980</v>
      </c>
      <c r="M75" s="151">
        <f>IF(AND([0]!Godina=2024,MID(Osnovni_podaci!D20,3,1)="e",Osnovni_podaci!L24=5,Osnovni_podaci!G24=0,MID(Osnovni_podaci!D20,3,1)="e",MID(Osnovni_podaci!D20,8,1)="d"),SUM(K75,-L75),A1)</f>
        <v>9133</v>
      </c>
      <c r="N75" s="579">
        <v>9133</v>
      </c>
      <c r="P75" s="44"/>
    </row>
    <row r="76" spans="2:16" x14ac:dyDescent="0.2">
      <c r="B76" s="15">
        <v>56</v>
      </c>
      <c r="C76" s="361" t="str">
        <f>VLOOKUP( $B76, T_Aop[], 5, 1)</f>
        <v>232, dio 238</v>
      </c>
      <c r="D76" s="621" t="str">
        <f>VLOOKUP( $B76, T_Aop[], 6, 1)</f>
        <v xml:space="preserve">        c) Kratkoročni krediti u inostranstvu</v>
      </c>
      <c r="E76" s="622"/>
      <c r="F76" s="622"/>
      <c r="G76" s="622"/>
      <c r="H76" s="623"/>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18" t="str">
        <f>VLOOKUP( $B77, T_Aop[], 6, 1)</f>
        <v xml:space="preserve">        d) Ostala finansijska sredstva po amortizovanoj vrijednosti</v>
      </c>
      <c r="E77" s="619"/>
      <c r="F77" s="619"/>
      <c r="G77" s="619"/>
      <c r="H77" s="620"/>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21" t="str">
        <f>VLOOKUP( $B78, T_Aop[], 6, 1)</f>
        <v xml:space="preserve">      2.2. Finansijska sredstva po fer vrijednosti kroz bilans uspjeha</v>
      </c>
      <c r="E78" s="622"/>
      <c r="F78" s="622"/>
      <c r="G78" s="622"/>
      <c r="H78" s="623"/>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18" t="str">
        <f>VLOOKUP( $B79, T_Aop[], 6, 1)</f>
        <v xml:space="preserve">      2.3. Potraživanje po finansijskom lizingu</v>
      </c>
      <c r="E79" s="619"/>
      <c r="F79" s="619"/>
      <c r="G79" s="619"/>
      <c r="H79" s="620"/>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21" t="str">
        <f>VLOOKUP( $B80, T_Aop[], 6, 1)</f>
        <v xml:space="preserve">      2.4. Derivatna finansijska sredstva</v>
      </c>
      <c r="E80" s="622"/>
      <c r="F80" s="622"/>
      <c r="G80" s="622"/>
      <c r="H80" s="623"/>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18" t="str">
        <f>VLOOKUP( $B81, T_Aop[], 6, 1)</f>
        <v xml:space="preserve">    3. Gotovinski ekvivalenti i gotovina (062 + 063)</v>
      </c>
      <c r="E81" s="619"/>
      <c r="F81" s="619"/>
      <c r="G81" s="619"/>
      <c r="H81" s="620"/>
      <c r="I81" s="121">
        <f>VLOOKUP( $B81, T_Aop[], 4, 1)</f>
        <v>61</v>
      </c>
      <c r="J81" s="157"/>
      <c r="K81" s="32">
        <f>IF(AND([0]!Godina=2024,MID(Osnovni_podaci!D20,3,1)="e",Osnovni_podaci!L24=5,Osnovni_podaci!G24=0,MID(Osnovni_podaci!D20,3,1)="e",MID(Osnovni_podaci!D20,8,1)="d"),SUBTOTAL(9,K82:K83),A1)</f>
        <v>2700093</v>
      </c>
      <c r="L81" s="32">
        <f>IF(AND([0]!Godina=2024,MID(Osnovni_podaci!D20,3,1)="e",Osnovni_podaci!L24=5,Osnovni_podaci!G24=0,MID(Osnovni_podaci!D20,3,1)="e",MID(Osnovni_podaci!D20,8,1)="d"),SUBTOTAL(9,L82:L83),A1)</f>
        <v>0</v>
      </c>
      <c r="M81" s="32">
        <f t="shared" ref="M81:M86" si="1">SUM(K81,-L81)</f>
        <v>2700093</v>
      </c>
      <c r="N81" s="399">
        <f>SUBTOTAL(9,N82:N83)</f>
        <v>3623434</v>
      </c>
      <c r="P81" s="44"/>
    </row>
    <row r="82" spans="2:16" x14ac:dyDescent="0.2">
      <c r="B82" s="15">
        <v>62</v>
      </c>
      <c r="C82" s="361" t="str">
        <f>VLOOKUP( $B82, T_Aop[], 5, 1)</f>
        <v>240, dio 249</v>
      </c>
      <c r="D82" s="621" t="str">
        <f>VLOOKUP( $B82, T_Aop[], 6, 1)</f>
        <v xml:space="preserve">      3.1. Gotovinski ekvivalenti </v>
      </c>
      <c r="E82" s="622"/>
      <c r="F82" s="622"/>
      <c r="G82" s="622"/>
      <c r="H82" s="623"/>
      <c r="I82" s="122">
        <f>VLOOKUP( $B82, T_Aop[], 4, 1)</f>
        <v>62</v>
      </c>
      <c r="J82" s="155"/>
      <c r="K82" s="238"/>
      <c r="L82" s="155"/>
      <c r="M82" s="152">
        <f t="shared" si="1"/>
        <v>0</v>
      </c>
      <c r="N82" s="400"/>
      <c r="P82" s="44"/>
    </row>
    <row r="83" spans="2:16" x14ac:dyDescent="0.2">
      <c r="B83" s="15">
        <v>63</v>
      </c>
      <c r="C83" s="360" t="str">
        <f>VLOOKUP( $B83, T_Aop[], 5, 1)</f>
        <v>241 do 249</v>
      </c>
      <c r="D83" s="618" t="str">
        <f>VLOOKUP( $B83, T_Aop[], 6, 1)</f>
        <v xml:space="preserve">      3.2. Gotovina</v>
      </c>
      <c r="E83" s="619"/>
      <c r="F83" s="619"/>
      <c r="G83" s="619"/>
      <c r="H83" s="620"/>
      <c r="I83" s="121">
        <f>VLOOKUP( $B83, T_Aop[], 4, 1)</f>
        <v>63</v>
      </c>
      <c r="J83" s="157"/>
      <c r="K83" s="429">
        <v>2700093</v>
      </c>
      <c r="L83" s="157"/>
      <c r="M83" s="151">
        <f t="shared" si="1"/>
        <v>2700093</v>
      </c>
      <c r="N83" s="579">
        <v>3623434</v>
      </c>
      <c r="P83" s="44"/>
    </row>
    <row r="84" spans="2:16" x14ac:dyDescent="0.2">
      <c r="B84" s="15">
        <v>64</v>
      </c>
      <c r="C84" s="361" t="str">
        <f>VLOOKUP( $B84, T_Aop[], 5, 1)</f>
        <v>270 do 279</v>
      </c>
      <c r="D84" s="621" t="str">
        <f>VLOOKUP( $B84, T_Aop[], 6, 1)</f>
        <v xml:space="preserve">    4. Porez na dodatu vrijednost</v>
      </c>
      <c r="E84" s="622"/>
      <c r="F84" s="622"/>
      <c r="G84" s="622"/>
      <c r="H84" s="623"/>
      <c r="I84" s="122">
        <f>VLOOKUP( $B84, T_Aop[], 4, 1)</f>
        <v>64</v>
      </c>
      <c r="J84" s="155"/>
      <c r="K84" s="428"/>
      <c r="L84" s="155"/>
      <c r="M84" s="152">
        <f t="shared" si="1"/>
        <v>0</v>
      </c>
      <c r="N84" s="576">
        <v>0</v>
      </c>
      <c r="P84" s="44"/>
    </row>
    <row r="85" spans="2:16" x14ac:dyDescent="0.2">
      <c r="B85" s="15">
        <v>65</v>
      </c>
      <c r="C85" s="360" t="str">
        <f>VLOOKUP( $B85, T_Aop[], 5, 1)</f>
        <v>280 do 289</v>
      </c>
      <c r="D85" s="618" t="str">
        <f>VLOOKUP( $B85, T_Aop[], 6, 1)</f>
        <v xml:space="preserve">    5. Kratkoročna  razgraničenja</v>
      </c>
      <c r="E85" s="619"/>
      <c r="F85" s="619"/>
      <c r="G85" s="619"/>
      <c r="H85" s="620"/>
      <c r="I85" s="121">
        <f>VLOOKUP( $B85, T_Aop[], 4, 1)</f>
        <v>65</v>
      </c>
      <c r="J85" s="157"/>
      <c r="K85" s="427">
        <v>395511</v>
      </c>
      <c r="L85" s="157"/>
      <c r="M85" s="151">
        <f t="shared" si="1"/>
        <v>395511</v>
      </c>
      <c r="N85" s="579">
        <v>436415</v>
      </c>
      <c r="P85" s="44"/>
    </row>
    <row r="86" spans="2:16" x14ac:dyDescent="0.2">
      <c r="B86" s="15">
        <v>66</v>
      </c>
      <c r="C86" s="361"/>
      <c r="D86" s="629" t="str">
        <f>VLOOKUP( $B86, T_Aop[], 6, 1)</f>
        <v xml:space="preserve">  G. BILANSNA AKTIVA (001 + 035 + 036)</v>
      </c>
      <c r="E86" s="630"/>
      <c r="F86" s="630"/>
      <c r="G86" s="630"/>
      <c r="H86" s="631"/>
      <c r="I86" s="172">
        <f>VLOOKUP( $B86, T_Aop[], 4, 1)</f>
        <v>66</v>
      </c>
      <c r="J86" s="155"/>
      <c r="K86" s="31">
        <f>IF(AND([0]!Godina=2024,MID(Osnovni_podaci!D20,3,1)="e",Osnovni_podaci!L24=5,Osnovni_podaci!G24=0,MID(Osnovni_podaci!D20,3,1)="e",MID(Osnovni_podaci!D20,8,1)="d"),SUBTOTAL( 9, K21:K85),A1)</f>
        <v>398784317.01999998</v>
      </c>
      <c r="L86" s="31">
        <f>IF(AND([0]!Godina=2024,MID(Osnovni_podaci!D20,3,1)="e",Osnovni_podaci!L24=5,Osnovni_podaci!G24=0,MID(Osnovni_podaci!D20,3,1)="e",MID(Osnovni_podaci!D20,8,1)="d"),SUBTOTAL( 9, L21:L85),A1)</f>
        <v>250223522</v>
      </c>
      <c r="M86" s="81">
        <f t="shared" si="1"/>
        <v>148560795.01999998</v>
      </c>
      <c r="N86" s="239">
        <f>SUBTOTAL( 9, N21:N85)</f>
        <v>146398234</v>
      </c>
      <c r="P86" s="44"/>
    </row>
    <row r="87" spans="2:16" x14ac:dyDescent="0.2">
      <c r="B87" s="15">
        <v>67</v>
      </c>
      <c r="C87" s="362" t="str">
        <f>VLOOKUP( $B87, T_Aop[], 5, 1)</f>
        <v>880 do 888</v>
      </c>
      <c r="D87" s="672" t="str">
        <f>VLOOKUP( $B87, T_Aop[], 6, 1)</f>
        <v xml:space="preserve">  D. VANBILANSNA AKTIVA</v>
      </c>
      <c r="E87" s="673"/>
      <c r="F87" s="673"/>
      <c r="G87" s="673"/>
      <c r="H87" s="674"/>
      <c r="I87" s="173">
        <f>VLOOKUP( $B87, T_Aop[], 4, 1)</f>
        <v>67</v>
      </c>
      <c r="J87" s="401"/>
      <c r="K87" s="434">
        <v>28922698</v>
      </c>
      <c r="L87" s="434"/>
      <c r="M87" s="35">
        <f>SUM(K87,-L87)</f>
        <v>28922698</v>
      </c>
      <c r="N87" s="582">
        <v>29002149</v>
      </c>
      <c r="P87" s="44"/>
    </row>
    <row r="88" spans="2:16" x14ac:dyDescent="0.2">
      <c r="C88" s="123"/>
      <c r="D88" s="123"/>
      <c r="E88" s="123"/>
      <c r="F88" s="123"/>
      <c r="G88" s="123"/>
      <c r="H88" s="123"/>
      <c r="I88" s="123"/>
      <c r="J88" s="123"/>
      <c r="K88" s="123"/>
      <c r="L88" s="123"/>
      <c r="M88" s="124"/>
      <c r="N88" s="123"/>
      <c r="P88" s="44"/>
    </row>
    <row r="89" spans="2:16" x14ac:dyDescent="0.2">
      <c r="C89" s="660" t="str">
        <f>Tabele_zaglavlje_Grupa_racuna</f>
        <v>Grupa računa, račun</v>
      </c>
      <c r="D89" s="676" t="str">
        <f>IF(AND([0]!Godina=2024,MID(Osnovni_podaci!D20,3,1)="e",Osnovni_podaci!L24=5,Osnovni_podaci!G24=0,MID(Osnovni_podaci!D20,3,1)="e",MID(Osnovni_podaci!D20,8,1)="d"),Tabele_zaglavlje_Pozicija,A1)</f>
        <v>POZICIJA</v>
      </c>
      <c r="E89" s="677"/>
      <c r="F89" s="677"/>
      <c r="G89" s="677"/>
      <c r="H89" s="678"/>
      <c r="I89" s="686" t="str">
        <f>Tabele_zaglavlje_Oznaka_aop</f>
        <v>Oznaka za AOP</v>
      </c>
      <c r="J89" s="668" t="str">
        <f>Tabele_zaglavlje_Napomena_aop</f>
        <v>Napomena</v>
      </c>
      <c r="K89" s="682"/>
      <c r="L89" s="683"/>
      <c r="M89" s="664" t="str">
        <f>Tabele_zaglavlje_BS_iznos_tekuca</f>
        <v>Iznos na dan bilansa tekuće godine</v>
      </c>
      <c r="N89" s="675" t="str">
        <f>Tabele_zaglavlje_BS_iznos_prethodna</f>
        <v>Iznos na dan bilansa prethodne godine (PS)</v>
      </c>
      <c r="P89" s="44"/>
    </row>
    <row r="90" spans="2:16" ht="39.75" customHeight="1" x14ac:dyDescent="0.2">
      <c r="C90" s="661"/>
      <c r="D90" s="679"/>
      <c r="E90" s="680"/>
      <c r="F90" s="680"/>
      <c r="G90" s="680"/>
      <c r="H90" s="681"/>
      <c r="I90" s="665"/>
      <c r="J90" s="669"/>
      <c r="K90" s="684"/>
      <c r="L90" s="685"/>
      <c r="M90" s="665"/>
      <c r="N90" s="659"/>
      <c r="P90" s="44"/>
    </row>
    <row r="91" spans="2:16" x14ac:dyDescent="0.2">
      <c r="C91" s="24">
        <v>1</v>
      </c>
      <c r="D91" s="654" t="s">
        <v>3076</v>
      </c>
      <c r="E91" s="655"/>
      <c r="F91" s="655"/>
      <c r="G91" s="655"/>
      <c r="H91" s="656"/>
      <c r="I91" s="234">
        <v>3</v>
      </c>
      <c r="J91" s="240">
        <v>4</v>
      </c>
      <c r="K91" s="403"/>
      <c r="L91" s="404"/>
      <c r="M91" s="233">
        <v>5</v>
      </c>
      <c r="N91" s="26">
        <v>6</v>
      </c>
      <c r="P91" s="44"/>
    </row>
    <row r="92" spans="2:16" ht="22.5" customHeight="1" x14ac:dyDescent="0.2">
      <c r="B92" s="15">
        <v>68</v>
      </c>
      <c r="C92" s="169">
        <f>VLOOKUP( $B92, T_Aop[], 5, 1)</f>
        <v>0</v>
      </c>
      <c r="D92" s="635" t="str">
        <f>IF(AND([0]!Godina=2024,MID(Osnovni_podaci!D20,3,1)="e",Osnovni_podaci!L24=5,Osnovni_podaci!G24=0,MID(Osnovni_podaci!D20,3,1)="e",MID(Osnovni_podaci!D20,8,1)="d"),VLOOKUP( $B92, T_Aop[], 6, 1),A1)</f>
        <v xml:space="preserve">  BILANSNA PASIVA
A. KAPITAL  (102 -110 + 113 - 114 + 115 + 119 + 122 - 123 + 124 - 128 + 131)</v>
      </c>
      <c r="E92" s="636"/>
      <c r="F92" s="636"/>
      <c r="G92" s="636"/>
      <c r="H92" s="637"/>
      <c r="I92" s="170">
        <f>VLOOKUP( $B92, T_Aop[], 4, 1)</f>
        <v>101</v>
      </c>
      <c r="J92" s="426"/>
      <c r="K92" s="614"/>
      <c r="L92" s="615"/>
      <c r="M92" s="518">
        <f>SUBTOTAL( 9, M95:M100,M104,M107:M109, M111:M113,M116:M118,M122) - SUBTOTAL( 9, M102:M103, M114, M120:M121) -SUBTOTAL(9, M105)</f>
        <v>99681716</v>
      </c>
      <c r="N92" s="519">
        <f>SUBTOTAL( 9, N95:N100, N104, N107:N109, N111:N113, N116:N118, N122) - SUBTOTAL( 9, N102:N103, N114, N120:N121)-SUBTOTAL(9,N105)</f>
        <v>96034425</v>
      </c>
      <c r="P92" s="44"/>
    </row>
    <row r="93" spans="2:16" x14ac:dyDescent="0.2">
      <c r="B93" s="15">
        <v>69</v>
      </c>
      <c r="C93" s="356">
        <f>VLOOKUP( $B93, T_Aop[], 5, 1)</f>
        <v>30</v>
      </c>
      <c r="D93" s="644" t="str">
        <f>IF(AND([0]!Godina=2024,MID(Osnovni_podaci!D20,3,1)="e",Osnovni_podaci!L24=5,Osnovni_podaci!G24=0,MID(Osnovni_podaci!D20,3,1)="e",MID(Osnovni_podaci!D20,8,1)="d"),VLOOKUP( $B93, T_Aop[], 6, 1),A1)</f>
        <v xml:space="preserve">  I OSNOVNI KAPITAL (103 + 106 + 107 + 108 + 109)</v>
      </c>
      <c r="E93" s="645"/>
      <c r="F93" s="645"/>
      <c r="G93" s="645"/>
      <c r="H93" s="646"/>
      <c r="I93" s="241">
        <f>VLOOKUP( $B93, T_Aop[], 4, 1)</f>
        <v>102</v>
      </c>
      <c r="J93" s="424"/>
      <c r="K93" s="612"/>
      <c r="L93" s="613"/>
      <c r="M93" s="520">
        <f>SUBTOTAL( 9, M94:M100)</f>
        <v>15795899</v>
      </c>
      <c r="N93" s="521">
        <f>SUBTOTAL( 9, N94:N100)</f>
        <v>15795899</v>
      </c>
      <c r="P93" s="44"/>
    </row>
    <row r="94" spans="2:16" x14ac:dyDescent="0.2">
      <c r="B94" s="15">
        <v>70</v>
      </c>
      <c r="C94" s="357">
        <f>VLOOKUP( $B94, T_Aop[], 5, 1)</f>
        <v>300</v>
      </c>
      <c r="D94" s="618" t="str">
        <f>IF(AND([0]!Godina=2024,MID(Osnovni_podaci!D20,3,1)="e",Osnovni_podaci!L24=5,Osnovni_podaci!G24=0,MID(Osnovni_podaci!D20,3,1)="e",MID(Osnovni_podaci!D20,8,1)="d"),VLOOKUP( $B94, T_Aop[], 6, 1),A1)</f>
        <v xml:space="preserve">    1. Akcijski kapital (104 + 105)</v>
      </c>
      <c r="E94" s="619"/>
      <c r="F94" s="619"/>
      <c r="G94" s="619"/>
      <c r="H94" s="620"/>
      <c r="I94" s="170">
        <f>VLOOKUP( $B94, T_Aop[], 4, 1)</f>
        <v>103</v>
      </c>
      <c r="J94" s="157"/>
      <c r="K94" s="614"/>
      <c r="L94" s="615"/>
      <c r="M94" s="48">
        <f>SUBTOTAL( 9, M95:M96)</f>
        <v>15795899</v>
      </c>
      <c r="N94" s="49">
        <f>SUBTOTAL( 9, N95:N96)</f>
        <v>15795899</v>
      </c>
      <c r="P94" s="44"/>
    </row>
    <row r="95" spans="2:16" x14ac:dyDescent="0.2">
      <c r="B95" s="15">
        <v>71</v>
      </c>
      <c r="C95" s="358"/>
      <c r="D95" s="621" t="str">
        <f>IF(AND([0]!Godina=2024,MID(Osnovni_podaci!D20,3,1)="e",Osnovni_podaci!L24=5,Osnovni_podaci!G24=0,MID(Osnovni_podaci!D20,3,1)="e",MID(Osnovni_podaci!D20,8,1)="d"),VLOOKUP( $B95, T_Aop[], 6, 1),A1)</f>
        <v xml:space="preserve">      1.1. Akcijski kapital - obične akcije </v>
      </c>
      <c r="E95" s="622"/>
      <c r="F95" s="622"/>
      <c r="G95" s="622"/>
      <c r="H95" s="623"/>
      <c r="I95" s="122">
        <f>VLOOKUP( $B95, T_Aop[], 4, 1)</f>
        <v>104</v>
      </c>
      <c r="J95" s="155"/>
      <c r="K95" s="612"/>
      <c r="L95" s="613"/>
      <c r="M95" s="575">
        <v>15795899</v>
      </c>
      <c r="N95" s="575">
        <v>15795899</v>
      </c>
      <c r="P95" s="44"/>
    </row>
    <row r="96" spans="2:16" x14ac:dyDescent="0.2">
      <c r="B96" s="15">
        <v>72</v>
      </c>
      <c r="C96" s="357"/>
      <c r="D96" s="618" t="str">
        <f>IF(AND([0]!Godina=2024,MID(Osnovni_podaci!D20,3,1)="e",Osnovni_podaci!L24=5,Osnovni_podaci!G24=0,MID(Osnovni_podaci!D20,3,1)="e",MID(Osnovni_podaci!D20,8,1)="d"),VLOOKUP( $B96, T_Aop[], 6, 1),A1)</f>
        <v xml:space="preserve">      1.2. Akcijski kapital – povlašćene (prioritetne) akcije</v>
      </c>
      <c r="E96" s="619"/>
      <c r="F96" s="619"/>
      <c r="G96" s="619"/>
      <c r="H96" s="620"/>
      <c r="I96" s="121">
        <f>VLOOKUP( $B96, T_Aop[], 4, 1)</f>
        <v>105</v>
      </c>
      <c r="J96" s="157"/>
      <c r="K96" s="614"/>
      <c r="L96" s="615"/>
      <c r="M96" s="196"/>
      <c r="N96" s="197"/>
      <c r="P96" s="44"/>
    </row>
    <row r="97" spans="2:16" x14ac:dyDescent="0.2">
      <c r="B97" s="15">
        <v>73</v>
      </c>
      <c r="C97" s="358">
        <f>VLOOKUP( $B97, T_Aop[], 5, 1)</f>
        <v>302</v>
      </c>
      <c r="D97" s="621" t="str">
        <f>IF(AND([0]!Godina=2024,MID(Osnovni_podaci!D20,3,1)="e",Osnovni_podaci!L24=5,Osnovni_podaci!G24=0,MID(Osnovni_podaci!D20,3,1)="e",MID(Osnovni_podaci!D20,8,1)="d"),VLOOKUP( $B97, T_Aop[], 6, 1),A1)</f>
        <v xml:space="preserve">    2. Udjeli društva sa ograničenom odgovornošću</v>
      </c>
      <c r="E97" s="622"/>
      <c r="F97" s="622"/>
      <c r="G97" s="622"/>
      <c r="H97" s="623"/>
      <c r="I97" s="122">
        <f>VLOOKUP( $B97, T_Aop[], 4, 1)</f>
        <v>106</v>
      </c>
      <c r="J97" s="155"/>
      <c r="K97" s="612"/>
      <c r="L97" s="613"/>
      <c r="M97" s="194"/>
      <c r="N97" s="195"/>
      <c r="P97" s="44"/>
    </row>
    <row r="98" spans="2:16" x14ac:dyDescent="0.2">
      <c r="B98" s="15">
        <v>74</v>
      </c>
      <c r="C98" s="357">
        <f>VLOOKUP( $B98, T_Aop[], 5, 1)</f>
        <v>304</v>
      </c>
      <c r="D98" s="618" t="str">
        <f>IF(AND([0]!Godina=2024,MID(Osnovni_podaci!D20,3,1)="e",Osnovni_podaci!L24=5,Osnovni_podaci!G24=0,MID(Osnovni_podaci!D20,3,1)="e",MID(Osnovni_podaci!D20,8,1)="d"),VLOOKUP( $B98, T_Aop[], 6, 1),A1)</f>
        <v xml:space="preserve">    3. Ulozi</v>
      </c>
      <c r="E98" s="619"/>
      <c r="F98" s="619"/>
      <c r="G98" s="619"/>
      <c r="H98" s="620"/>
      <c r="I98" s="121">
        <f>VLOOKUP( $B98, T_Aop[], 4, 1)</f>
        <v>107</v>
      </c>
      <c r="J98" s="157"/>
      <c r="K98" s="614"/>
      <c r="L98" s="615"/>
      <c r="M98" s="196"/>
      <c r="N98" s="197"/>
      <c r="P98" s="44"/>
    </row>
    <row r="99" spans="2:16" x14ac:dyDescent="0.2">
      <c r="B99" s="15">
        <v>75</v>
      </c>
      <c r="C99" s="358">
        <f>VLOOKUP( $B99, T_Aop[], 5, 1)</f>
        <v>305</v>
      </c>
      <c r="D99" s="621" t="str">
        <f>IF(AND([0]!Godina=2024,MID(Osnovni_podaci!D20,3,1)="e",Osnovni_podaci!L24=5,Osnovni_podaci!G24=0,MID(Osnovni_podaci!D20,3,1)="e",MID(Osnovni_podaci!D20,8,1)="d"),VLOOKUP( $B99, T_Aop[], 6, 1),A1)</f>
        <v xml:space="preserve">    4. Državni kapital</v>
      </c>
      <c r="E99" s="622"/>
      <c r="F99" s="622"/>
      <c r="G99" s="622"/>
      <c r="H99" s="623"/>
      <c r="I99" s="122">
        <f>VLOOKUP( $B99, T_Aop[], 4, 1)</f>
        <v>108</v>
      </c>
      <c r="J99" s="155"/>
      <c r="K99" s="612"/>
      <c r="L99" s="613"/>
      <c r="M99" s="194"/>
      <c r="N99" s="195"/>
      <c r="P99" s="44"/>
    </row>
    <row r="100" spans="2:16" x14ac:dyDescent="0.2">
      <c r="B100" s="15">
        <v>76</v>
      </c>
      <c r="C100" s="357" t="str">
        <f>IF(AND([0]!Godina=2024,MID(Osnovni_podaci!D20,3,1)="e",Osnovni_podaci!L24=5,Osnovni_podaci!G24=0,MID(Osnovni_podaci!D20,3,1)="e",MID(Osnovni_podaci!D20,8,1)="d"),VLOOKUP( $B100, T_Aop[], 5, 1),A1)</f>
        <v>309</v>
      </c>
      <c r="D100" s="618" t="str">
        <f>IF(AND([0]!Godina=2024,MID(Osnovni_podaci!D20,3,1)="e",Osnovni_podaci!L24=5,Osnovni_podaci!G24=0,MID(Osnovni_podaci!D20,3,1)="e",MID(Osnovni_podaci!D20,8,1)="d"),VLOOKUP( $B100, T_Aop[], 6, 1),A1)</f>
        <v xml:space="preserve">    5. Ostali osnovni kapital</v>
      </c>
      <c r="E100" s="619"/>
      <c r="F100" s="619"/>
      <c r="G100" s="619"/>
      <c r="H100" s="620"/>
      <c r="I100" s="121">
        <f>IF(AND([0]!Godina=2024,MID(Osnovni_podaci!D20,3,1)="e",Osnovni_podaci!L24=5,Osnovni_podaci!G24=0,MID(Osnovni_podaci!D20,3,1)="e",MID(Osnovni_podaci!D20,8,1)="d"),VLOOKUP( $B100, T_Aop[], 4, 1),A1)</f>
        <v>109</v>
      </c>
      <c r="J100" s="157"/>
      <c r="K100" s="614"/>
      <c r="L100" s="615"/>
      <c r="M100" s="196"/>
      <c r="N100" s="197"/>
      <c r="P100" s="44"/>
    </row>
    <row r="101" spans="2:16" x14ac:dyDescent="0.2">
      <c r="B101" s="15">
        <v>77</v>
      </c>
      <c r="C101" s="358">
        <f>IF(AND([0]!Godina=2024,MID(Osnovni_podaci!D20,3,1)="e",Osnovni_podaci!L24=5,Osnovni_podaci!G24=0,MID(Osnovni_podaci!D20,3,1)="e",MID(Osnovni_podaci!D20,8,1)="d"),VLOOKUP( $B101, T_Aop[], 5, 1),A1)</f>
        <v>31</v>
      </c>
      <c r="D101" s="629" t="str">
        <f>IF(AND([0]!Godina=2024,MID(Osnovni_podaci!D20,3,1)="e",Osnovni_podaci!L24=5,Osnovni_podaci!G24=0,MID(Osnovni_podaci!D20,3,1)="e",MID(Osnovni_podaci!D20,8,1)="d"),VLOOKUP( $B101, T_Aop[], 6, 1),A1)</f>
        <v xml:space="preserve">  II OTKUPLJENE SOPSTVENE AKCIJE I UPISANI NEUPLAĆENI KAPITAL (111 + 112)</v>
      </c>
      <c r="E101" s="630"/>
      <c r="F101" s="630"/>
      <c r="G101" s="630"/>
      <c r="H101" s="631"/>
      <c r="I101" s="171">
        <f>IF(AND([0]!Godina=2024,MID(Osnovni_podaci!D20,3,1)="e",Osnovni_podaci!L24=5,Osnovni_podaci!G24=0,MID(Osnovni_podaci!D20,3,1)="e",MID(Osnovni_podaci!D20,8,1)="d"),VLOOKUP( $B101, T_Aop[], 4, 1),A1)</f>
        <v>110</v>
      </c>
      <c r="J101" s="155"/>
      <c r="K101" s="612"/>
      <c r="L101" s="613"/>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18" t="str">
        <f>IF(AND([0]!Godina=2024,MID(Osnovni_podaci!D20,3,1)="e",Osnovni_podaci!L24=5,Osnovni_podaci!G24=0,MID(Osnovni_podaci!D20,3,1)="e",MID(Osnovni_podaci!D20,8,1)="d"),VLOOKUP( $B102, T_Aop[], 6, 1),A1)</f>
        <v xml:space="preserve">    1. Otkupljene sopstvene akcije i udjeli </v>
      </c>
      <c r="E102" s="619"/>
      <c r="F102" s="619"/>
      <c r="G102" s="619"/>
      <c r="H102" s="620"/>
      <c r="I102" s="121">
        <f>IF(AND([0]!Godina=2024,MID(Osnovni_podaci!D20,3,1)="e",Osnovni_podaci!L24=5,Osnovni_podaci!G24=0,MID(Osnovni_podaci!D20,3,1)="e",MID(Osnovni_podaci!D20,8,1)="d"),VLOOKUP( $B102, T_Aop[], 4, 1),A1)</f>
        <v>111</v>
      </c>
      <c r="J102" s="157"/>
      <c r="K102" s="614"/>
      <c r="L102" s="615"/>
      <c r="M102" s="200"/>
      <c r="N102" s="201"/>
      <c r="P102" s="44"/>
    </row>
    <row r="103" spans="2:16" x14ac:dyDescent="0.2">
      <c r="B103" s="15">
        <v>79</v>
      </c>
      <c r="C103" s="358">
        <f>IF(AND([0]!Godina=2024,MID(Osnovni_podaci!D20,3,1)="e",Osnovni_podaci!L24=5,Osnovni_podaci!G24=0,MID(Osnovni_podaci!D20,3,1)="e",MID(Osnovni_podaci!D20,8,1)="d"),VLOOKUP( $B103, T_Aop[], 5, 1),A1)</f>
        <v>311</v>
      </c>
      <c r="D103" s="621" t="str">
        <f>IF(AND([0]!Godina=2024,MID(Osnovni_podaci!D20,3,1)="e",Osnovni_podaci!L24=5,Osnovni_podaci!G24=0,MID(Osnovni_podaci!D20,3,1)="e",MID(Osnovni_podaci!D20,8,1)="d"),VLOOKUP( $B103, T_Aop[], 6, 1),A1)</f>
        <v xml:space="preserve">    2. Upisani neuplaćeni kapital</v>
      </c>
      <c r="E103" s="622"/>
      <c r="F103" s="622"/>
      <c r="G103" s="622"/>
      <c r="H103" s="623"/>
      <c r="I103" s="122">
        <f>IF(AND([0]!Godina=2024,MID(Osnovni_podaci!D20,3,1)="e",Osnovni_podaci!L24=5,Osnovni_podaci!G24=0,MID(Osnovni_podaci!D20,3,1)="e",MID(Osnovni_podaci!D20,8,1)="d"),VLOOKUP( $B103, T_Aop[], 4, 1),A1)</f>
        <v>112</v>
      </c>
      <c r="J103" s="155"/>
      <c r="K103" s="612"/>
      <c r="L103" s="613"/>
      <c r="M103" s="198"/>
      <c r="N103" s="199"/>
      <c r="P103" s="44"/>
    </row>
    <row r="104" spans="2:16" x14ac:dyDescent="0.2">
      <c r="B104" s="15">
        <v>80</v>
      </c>
      <c r="C104" s="357">
        <f>IF(AND([0]!Godina=2024,MID(Osnovni_podaci!D20,3,1)="e",Osnovni_podaci!L24=5,Osnovni_podaci!G24=0,MID(Osnovni_podaci!D20,3,1)="e",MID(Osnovni_podaci!D20,8,1)="d"),VLOOKUP( $B104, T_Aop[], 5, 1),A1)</f>
        <v>320</v>
      </c>
      <c r="D104" s="626" t="str">
        <f>IF(AND([0]!Godina=2024,MID(Osnovni_podaci!D20,3,1)="e",Osnovni_podaci!L24=5,Osnovni_podaci!G24=0,MID(Osnovni_podaci!D20,3,1)="e",MID(Osnovni_podaci!D20,8,1)="d"),VLOOKUP( $B104, T_Aop[], 6, 1),A1)</f>
        <v xml:space="preserve">  III EMISIONA PREMIJA</v>
      </c>
      <c r="E104" s="627"/>
      <c r="F104" s="627"/>
      <c r="G104" s="627"/>
      <c r="H104" s="628"/>
      <c r="I104" s="170">
        <f>IF(AND([0]!Godina=2024,MID(Osnovni_podaci!D20,3,1)="e",Osnovni_podaci!L24=5,Osnovni_podaci!G24=0,MID(Osnovni_podaci!D20,3,1)="e",MID(Osnovni_podaci!D20,8,1)="d"),VLOOKUP( $B104, T_Aop[], 4, 1),A1)</f>
        <v>113</v>
      </c>
      <c r="J104" s="157"/>
      <c r="K104" s="614"/>
      <c r="L104" s="615"/>
      <c r="M104" s="200"/>
      <c r="N104" s="201"/>
      <c r="P104" s="44"/>
    </row>
    <row r="105" spans="2:16" x14ac:dyDescent="0.2">
      <c r="B105" s="15">
        <v>81</v>
      </c>
      <c r="C105" s="358">
        <f>IF(AND([0]!Godina=2024,MID(Osnovni_podaci!D20,3,1)="e",Osnovni_podaci!L24=5,Osnovni_podaci!G24=0,MID(Osnovni_podaci!D20,3,1)="e",MID(Osnovni_podaci!D20,8,1)="d"),VLOOKUP( $B105, T_Aop[], 5, 1),A1)</f>
        <v>321</v>
      </c>
      <c r="D105" s="629" t="str">
        <f>IF(AND([0]!Godina=2024,MID(Osnovni_podaci!D20,3,1)="e",Osnovni_podaci!L24=5,Osnovni_podaci!G24=0,MID(Osnovni_podaci!D20,3,1)="e",MID(Osnovni_podaci!D20,8,1)="d"),VLOOKUP( $B105, T_Aop[], 6, 1),A1)</f>
        <v xml:space="preserve">  IV EMISIONI GUBITAK</v>
      </c>
      <c r="E105" s="630"/>
      <c r="F105" s="630"/>
      <c r="G105" s="630"/>
      <c r="H105" s="631"/>
      <c r="I105" s="171">
        <f>IF(AND([0]!Godina=2024,MID(Osnovni_podaci!D20,3,1)="e",Osnovni_podaci!L24=5,Osnovni_podaci!G24=0,MID(Osnovni_podaci!D20,3,1)="e",MID(Osnovni_podaci!D20,8,1)="d"),VLOOKUP( $B105, T_Aop[], 4, 1),A1)</f>
        <v>114</v>
      </c>
      <c r="J105" s="155"/>
      <c r="K105" s="612"/>
      <c r="L105" s="613"/>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26" t="str">
        <f>IF(AND([0]!Godina=2024,MID(Osnovni_podaci!D20,3,1)="e",Osnovni_podaci!L24=5,Osnovni_podaci!G24=0,MID(Osnovni_podaci!D20,3,1)="e",MID(Osnovni_podaci!D20,8,1)="d"),VLOOKUP( $B106, T_Aop[], 6, 1),A1)</f>
        <v xml:space="preserve">  V REZERVE (116 do 118)</v>
      </c>
      <c r="E106" s="627"/>
      <c r="F106" s="627"/>
      <c r="G106" s="627"/>
      <c r="H106" s="628"/>
      <c r="I106" s="170">
        <f>IF(AND([0]!Godina=2024,MID(Osnovni_podaci!D20,3,1)="e",Osnovni_podaci!L24=5,Osnovni_podaci!G24=0,MID(Osnovni_podaci!D20,3,1)="e",MID(Osnovni_podaci!D20,8,1)="d"),VLOOKUP( $B106, T_Aop[], 4, 1),A1)</f>
        <v>115</v>
      </c>
      <c r="J106" s="157"/>
      <c r="K106" s="614"/>
      <c r="L106" s="615"/>
      <c r="M106" s="48">
        <f>SUBTOTAL( 9, M107:M109)</f>
        <v>14738412</v>
      </c>
      <c r="N106" s="49">
        <f>SUBTOTAL( 9, N107:N109)</f>
        <v>13419506</v>
      </c>
      <c r="P106" s="44"/>
    </row>
    <row r="107" spans="2:16" x14ac:dyDescent="0.2">
      <c r="B107" s="15">
        <v>83</v>
      </c>
      <c r="C107" s="358">
        <f>IF(AND([0]!Godina=2024,MID(Osnovni_podaci!D20,3,1)="e",Osnovni_podaci!L24=5,Osnovni_podaci!G24=0,MID(Osnovni_podaci!D20,3,1)="e",MID(Osnovni_podaci!D20,8,1)="d"),VLOOKUP( $B107, T_Aop[], 5, 1),A1)</f>
        <v>322</v>
      </c>
      <c r="D107" s="621" t="str">
        <f>IF(AND([0]!Godina=2024,MID(Osnovni_podaci!D20,3,1)="e",Osnovni_podaci!L24=5,Osnovni_podaci!G24=0,MID(Osnovni_podaci!D20,3,1)="e",MID(Osnovni_podaci!D20,8,1)="d"),VLOOKUP( $B107, T_Aop[], 6, 1),A1)</f>
        <v xml:space="preserve">    1. Zakonske rezerve</v>
      </c>
      <c r="E107" s="622"/>
      <c r="F107" s="622"/>
      <c r="G107" s="622"/>
      <c r="H107" s="623"/>
      <c r="I107" s="122">
        <f>IF(AND([0]!Godina=2024,MID(Osnovni_podaci!D20,3,1)="e",Osnovni_podaci!L24=5,Osnovni_podaci!G24=0,MID(Osnovni_podaci!D20,3,1)="e",MID(Osnovni_podaci!D20,8,1)="d"),VLOOKUP( $B107, T_Aop[], 4, 1),A1)</f>
        <v>116</v>
      </c>
      <c r="J107" s="155"/>
      <c r="K107" s="612"/>
      <c r="L107" s="613"/>
      <c r="M107" s="194">
        <v>753359</v>
      </c>
      <c r="N107" s="575">
        <v>605138</v>
      </c>
      <c r="P107" s="44"/>
    </row>
    <row r="108" spans="2:16" x14ac:dyDescent="0.2">
      <c r="B108" s="15">
        <v>84</v>
      </c>
      <c r="C108" s="357">
        <f>IF(AND([0]!Godina=2024,MID(Osnovni_podaci!D20,3,1)="e",Osnovni_podaci!L24=5,Osnovni_podaci!G24=0,MID(Osnovni_podaci!D20,3,1)="e",MID(Osnovni_podaci!D20,8,1)="d"),VLOOKUP( $B108, T_Aop[], 5, 1),A1)</f>
        <v>323</v>
      </c>
      <c r="D108" s="618" t="str">
        <f>IF(AND([0]!Godina=2024,MID(Osnovni_podaci!D20,3,1)="e",Osnovni_podaci!L24=5,Osnovni_podaci!G24=0,MID(Osnovni_podaci!D20,3,1)="e",MID(Osnovni_podaci!D20,8,1)="d"),VLOOKUP( $B108, T_Aop[], 6, 1),A1)</f>
        <v xml:space="preserve">    2. Statutarne rezerve</v>
      </c>
      <c r="E108" s="619"/>
      <c r="F108" s="619"/>
      <c r="G108" s="619"/>
      <c r="H108" s="620"/>
      <c r="I108" s="121">
        <f>IF(AND([0]!Godina=2024,MID(Osnovni_podaci!D20,3,1)="e",Osnovni_podaci!L24=5,Osnovni_podaci!G24=0,MID(Osnovni_podaci!D20,3,1)="e",MID(Osnovni_podaci!D20,8,1)="d"),VLOOKUP( $B108, T_Aop[], 4, 1),A1)</f>
        <v>117</v>
      </c>
      <c r="J108" s="157"/>
      <c r="K108" s="614"/>
      <c r="L108" s="615"/>
      <c r="M108" s="159"/>
      <c r="N108" s="583"/>
      <c r="P108" s="44"/>
    </row>
    <row r="109" spans="2:16" x14ac:dyDescent="0.2">
      <c r="B109" s="15">
        <v>85</v>
      </c>
      <c r="C109" s="358">
        <f>IF(AND([0]!Godina=2024,MID(Osnovni_podaci!D20,3,1)="e",Osnovni_podaci!L24=5,Osnovni_podaci!G24=0,MID(Osnovni_podaci!D20,3,1)="e",MID(Osnovni_podaci!D20,8,1)="d"),VLOOKUP( $B109, T_Aop[], 5, 1),A1)</f>
        <v>329</v>
      </c>
      <c r="D109" s="621" t="str">
        <f>IF(AND([0]!Godina=2024,MID(Osnovni_podaci!D20,3,1)="e",Osnovni_podaci!L24=5,Osnovni_podaci!G24=0,MID(Osnovni_podaci!D20,3,1)="e",MID(Osnovni_podaci!D20,8,1)="d"),VLOOKUP( $B109, T_Aop[], 6, 1),A1)</f>
        <v xml:space="preserve">    3. Ostale rezerve</v>
      </c>
      <c r="E109" s="622"/>
      <c r="F109" s="622"/>
      <c r="G109" s="622"/>
      <c r="H109" s="623"/>
      <c r="I109" s="122">
        <f>IF(AND([0]!Godina=2024,MID(Osnovni_podaci!D20,3,1)="e",Osnovni_podaci!L24=5,Osnovni_podaci!G24=0,MID(Osnovni_podaci!D20,3,1)="e",MID(Osnovni_podaci!D20,8,1)="d"),VLOOKUP( $B109, T_Aop[], 4, 1),A1)</f>
        <v>118</v>
      </c>
      <c r="J109" s="155"/>
      <c r="K109" s="612"/>
      <c r="L109" s="613"/>
      <c r="M109" s="198">
        <v>13985053</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26" t="str">
        <f>IF(AND([0]!Godina=2024,MID(Osnovni_podaci!D20,3,1)="e",Osnovni_podaci!L24=5,Osnovni_podaci!G24=0,MID(Osnovni_podaci!D20,3,1)="e",MID(Osnovni_podaci!D20,8,1)="d"),VLOOKUP( $B110, T_Aop[], 6, 1),A1)</f>
        <v xml:space="preserve">   VI REVALORIZACIONE REZERVE (120 + 121)</v>
      </c>
      <c r="E110" s="627"/>
      <c r="F110" s="627"/>
      <c r="G110" s="627"/>
      <c r="H110" s="628"/>
      <c r="I110" s="170">
        <f>IF(AND([0]!Godina=2024,MID(Osnovni_podaci!D20,3,1)="e",Osnovni_podaci!L24=5,Osnovni_podaci!G24=0,MID(Osnovni_podaci!D20,3,1)="e",MID(Osnovni_podaci!D20,8,1)="d"),VLOOKUP( $B110, T_Aop[], 4, 1),A1)</f>
        <v>119</v>
      </c>
      <c r="J110" s="157"/>
      <c r="K110" s="614"/>
      <c r="L110" s="615"/>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21" t="str">
        <f>IF(AND([0]!Godina=2024,MID(Osnovni_podaci!D20,3,1)="e",Osnovni_podaci!L24=5,Osnovni_podaci!G24=0,MID(Osnovni_podaci!D20,3,1)="e",MID(Osnovni_podaci!D20,8,1)="d"),VLOOKUP( $B111, T_Aop[], 6, 1),A1)</f>
        <v xml:space="preserve">    1. Revalorizacione rezerve za nekretnine, postrojenja, opremu i nematerijalna sredstva</v>
      </c>
      <c r="E111" s="622"/>
      <c r="F111" s="622"/>
      <c r="G111" s="622"/>
      <c r="H111" s="623"/>
      <c r="I111" s="122">
        <f>IF(AND([0]!Godina=2024,MID(Osnovni_podaci!D20,3,1)="e",Osnovni_podaci!L24=5,Osnovni_podaci!G24=0,MID(Osnovni_podaci!D20,3,1)="e",MID(Osnovni_podaci!D20,8,1)="d"),VLOOKUP( $B111, T_Aop[], 4, 1),A1)</f>
        <v>120</v>
      </c>
      <c r="J111" s="155"/>
      <c r="K111" s="612"/>
      <c r="L111" s="613"/>
      <c r="M111" s="575">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18" t="str">
        <f>IF(AND([0]!Godina=2024,MID(Osnovni_podaci!D20,3,1)="e",Osnovni_podaci!L24=5,Osnovni_podaci!G24=0,MID(Osnovni_podaci!D20,3,1)="e",MID(Osnovni_podaci!D20,8,1)="d"),VLOOKUP( $B112, T_Aop[], 6, 1),A1)</f>
        <v xml:space="preserve">    2. Ostale revalorizacione rezerve</v>
      </c>
      <c r="E112" s="619"/>
      <c r="F112" s="619"/>
      <c r="G112" s="619"/>
      <c r="H112" s="620"/>
      <c r="I112" s="121">
        <f>IF(AND([0]!Godina=2024,MID(Osnovni_podaci!D20,3,1)="e",Osnovni_podaci!L24=5,Osnovni_podaci!G24=0,MID(Osnovni_podaci!D20,3,1)="e",MID(Osnovni_podaci!D20,8,1)="d"),VLOOKUP( $B112, T_Aop[], 4, 1),A1)</f>
        <v>121</v>
      </c>
      <c r="J112" s="157"/>
      <c r="K112" s="614"/>
      <c r="L112" s="615"/>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32"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33"/>
      <c r="F113" s="633"/>
      <c r="G113" s="633"/>
      <c r="H113" s="634"/>
      <c r="I113" s="171">
        <f>IF(AND([0]!Godina=2024,MID(Osnovni_podaci!D20,3,1)="e",Osnovni_podaci!L24=5,Osnovni_podaci!G24=0,MID(Osnovni_podaci!D20,3,1)="e",MID(Osnovni_podaci!D20,8,1)="d"),VLOOKUP( $B113, T_Aop[], 4, 1),A1)</f>
        <v>122</v>
      </c>
      <c r="J113" s="155"/>
      <c r="K113" s="612"/>
      <c r="L113" s="613"/>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5"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6"/>
      <c r="F114" s="636"/>
      <c r="G114" s="636"/>
      <c r="H114" s="637"/>
      <c r="I114" s="170">
        <f>IF(AND([0]!Godina=2024,MID(Osnovni_podaci!D20,3,1)="e",Osnovni_podaci!L24=5,Osnovni_podaci!G24=0,MID(Osnovni_podaci!D20,3,1)="e",MID(Osnovni_podaci!D20,8,1)="d"),VLOOKUP( $B114, T_Aop[], 4, 1),A1)</f>
        <v>123</v>
      </c>
      <c r="J114" s="157"/>
      <c r="K114" s="614"/>
      <c r="L114" s="615"/>
      <c r="M114" s="200"/>
      <c r="N114" s="397"/>
      <c r="P114" s="44"/>
    </row>
    <row r="115" spans="2:16" x14ac:dyDescent="0.2">
      <c r="B115" s="15">
        <v>91</v>
      </c>
      <c r="C115" s="358">
        <f>IF(AND([0]!Godina=2024,MID(Osnovni_podaci!D20,3,1)="e",Osnovni_podaci!L24=5,Osnovni_podaci!G24=0,MID(Osnovni_podaci!D20,3,1)="e",MID(Osnovni_podaci!D20,8,1)="d"),VLOOKUP( $B115, T_Aop[], 5, 1),A1)</f>
        <v>34</v>
      </c>
      <c r="D115" s="629" t="str">
        <f>IF(AND([0]!Godina=2024,MID(Osnovni_podaci!D20,3,1)="e",Osnovni_podaci!L24=5,Osnovni_podaci!G24=0,MID(Osnovni_podaci!D20,3,1)="e",MID(Osnovni_podaci!D20,8,1)="d"),VLOOKUP( $B115, T_Aop[], 6, 1),A1)</f>
        <v xml:space="preserve">  IX  NERASPOREĐENA DOBIT (125 do 127)</v>
      </c>
      <c r="E115" s="630"/>
      <c r="F115" s="630"/>
      <c r="G115" s="630"/>
      <c r="H115" s="631"/>
      <c r="I115" s="171">
        <f>IF(AND([0]!Godina=2024,MID(Osnovni_podaci!D20,3,1)="e",Osnovni_podaci!L24=5,Osnovni_podaci!G24=0,MID(Osnovni_podaci!D20,3,1)="e",MID(Osnovni_podaci!D20,8,1)="d"),VLOOKUP( $B115, T_Aop[], 4, 1),A1)</f>
        <v>124</v>
      </c>
      <c r="J115" s="155"/>
      <c r="K115" s="612"/>
      <c r="L115" s="613"/>
      <c r="M115" s="50">
        <f>SUBTOTAL( 9, M116:M118)</f>
        <v>41620316</v>
      </c>
      <c r="N115" s="239">
        <f>SUBTOTAL( 9, N116:N118)</f>
        <v>39291931</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38"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39"/>
      <c r="F116" s="639"/>
      <c r="G116" s="639"/>
      <c r="H116" s="640"/>
      <c r="I116" s="121">
        <f>IF(AND([0]!Godina=2024,MID(Osnovni_podaci!D20,3,1)="e",Osnovni_podaci!L24=5,Osnovni_podaci!G24=0,MID(Osnovni_podaci!D20,3,1)="e",MID(Osnovni_podaci!D20,8,1)="d"),VLOOKUP( $B116, T_Aop[], 4, 1),A1)</f>
        <v>125</v>
      </c>
      <c r="J116" s="157"/>
      <c r="K116" s="614"/>
      <c r="L116" s="615"/>
      <c r="M116" s="196">
        <v>39143710</v>
      </c>
      <c r="N116" s="584">
        <v>36327510</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41"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42"/>
      <c r="F117" s="642"/>
      <c r="G117" s="642"/>
      <c r="H117" s="643"/>
      <c r="I117" s="122">
        <f>IF(AND([0]!Godina=2024,MID(Osnovni_podaci!D20,3,1)="e",Osnovni_podaci!L24=5,Osnovni_podaci!G24=0,MID(Osnovni_podaci!D20,3,1)="e",MID(Osnovni_podaci!D20,8,1)="d"),VLOOKUP( $B117, T_Aop[], 4, 1),A1)</f>
        <v>126</v>
      </c>
      <c r="J117" s="155"/>
      <c r="K117" s="612"/>
      <c r="L117" s="613"/>
      <c r="M117" s="194">
        <v>2476606</v>
      </c>
      <c r="N117" s="575">
        <f>2320090+644331</f>
        <v>2964421</v>
      </c>
      <c r="P117" s="44"/>
    </row>
    <row r="118" spans="2:16" x14ac:dyDescent="0.2">
      <c r="B118" s="15">
        <v>94</v>
      </c>
      <c r="C118" s="357">
        <f>IF(AND([0]!Godina=2024,MID(Osnovni_podaci!D20,3,1)="e",Osnovni_podaci!L24=5,Osnovni_podaci!G24=0,MID(Osnovni_podaci!D20,3,1)="e",MID(Osnovni_podaci!D20,8,1)="d"),VLOOKUP( $B118, T_Aop[], 5, 1),A1)</f>
        <v>344</v>
      </c>
      <c r="D118" s="618" t="str">
        <f>IF(AND([0]!Godina=2024,MID(Osnovni_podaci!D20,3,1)="e",Osnovni_podaci!L24=5,Osnovni_podaci!G24=0,MID(Osnovni_podaci!D20,3,1)="e",MID(Osnovni_podaci!D20,8,1)="d"),VLOOKUP( $B118, T_Aop[], 6, 1),A1)</f>
        <v xml:space="preserve">    3. Neto prihod od samostalne djelatnosti</v>
      </c>
      <c r="E118" s="619"/>
      <c r="F118" s="619"/>
      <c r="G118" s="619"/>
      <c r="H118" s="620"/>
      <c r="I118" s="121">
        <f>IF(AND([0]!Godina=2024,MID(Osnovni_podaci!D20,3,1)="e",Osnovni_podaci!L24=5,Osnovni_podaci!G24=0,MID(Osnovni_podaci!D20,3,1)="e",MID(Osnovni_podaci!D20,8,1)="d"),VLOOKUP( $B118, T_Aop[], 4, 1),A1)</f>
        <v>127</v>
      </c>
      <c r="J118" s="157"/>
      <c r="K118" s="614"/>
      <c r="L118" s="615"/>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29" t="str">
        <f>IF(AND([0]!Godina=2024,MID(Osnovni_podaci!D20,3,1)="e",Osnovni_podaci!L24=5,Osnovni_podaci!G24=0,MID(Osnovni_podaci!D20,3,1)="e",MID(Osnovni_podaci!D20,8,1)="d"),VLOOKUP( $B119, T_Aop[], 6, 1),A1)</f>
        <v xml:space="preserve">  X GUBITAK (129 + 130)  </v>
      </c>
      <c r="E119" s="630"/>
      <c r="F119" s="630"/>
      <c r="G119" s="630"/>
      <c r="H119" s="631"/>
      <c r="I119" s="171">
        <f>IF(AND([0]!Godina=2024,MID(Osnovni_podaci!D20,3,1)="e",Osnovni_podaci!L24=5,Osnovni_podaci!G24=0,MID(Osnovni_podaci!D20,3,1)="e",MID(Osnovni_podaci!D20,8,1)="d"),VLOOKUP( $B119, T_Aop[], 4, 1),A1)</f>
        <v>128</v>
      </c>
      <c r="J119" s="155"/>
      <c r="K119" s="612"/>
      <c r="L119" s="613"/>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18" t="str">
        <f>IF(AND([0]!Godina=2024,MID(Osnovni_podaci!D20,3,1)="e",Osnovni_podaci!L24=5,Osnovni_podaci!G24=0,MID(Osnovni_podaci!D20,3,1)="e",MID(Osnovni_podaci!D20,8,1)="d"),VLOOKUP( $B120, T_Aop[], 6, 1),A1)</f>
        <v xml:space="preserve">    1. Gubitak ranijih godina / Višak rashoda nad prihodima ranijih godina</v>
      </c>
      <c r="E120" s="619"/>
      <c r="F120" s="619"/>
      <c r="G120" s="619"/>
      <c r="H120" s="620"/>
      <c r="I120" s="121">
        <f>IF(AND([0]!Godina=2024,MID(Osnovni_podaci!D20,3,1)="e",Osnovni_podaci!L24=5,Osnovni_podaci!G24=0,MID(Osnovni_podaci!D20,3,1)="e",MID(Osnovni_podaci!D20,8,1)="d"),VLOOKUP( $B120, T_Aop[], 4, 1),A1)</f>
        <v>129</v>
      </c>
      <c r="J120" s="157"/>
      <c r="K120" s="614"/>
      <c r="L120" s="615"/>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21" t="str">
        <f>IF(AND([0]!Godina=2024,MID(Osnovni_podaci!D20,3,1)="e",Osnovni_podaci!L24=5,Osnovni_podaci!G24=0,MID(Osnovni_podaci!D20,3,1)="e",MID(Osnovni_podaci!D20,8,1)="d"),VLOOKUP( $B121, T_Aop[], 6, 1),A1)</f>
        <v xml:space="preserve">    2. Gubitak tekuće godine / Višak rashoda nad prihodima tekuće godine</v>
      </c>
      <c r="E121" s="622"/>
      <c r="F121" s="622"/>
      <c r="G121" s="622"/>
      <c r="H121" s="623"/>
      <c r="I121" s="122">
        <f>IF(AND([0]!Godina=2024,MID(Osnovni_podaci!D20,3,1)="e",Osnovni_podaci!L24=5,Osnovni_podaci!G24=0,MID(Osnovni_podaci!D20,3,1)="e",MID(Osnovni_podaci!D20,8,1)="d"),VLOOKUP( $B121, T_Aop[], 4, 1),A1)</f>
        <v>130</v>
      </c>
      <c r="J121" s="155"/>
      <c r="K121" s="612"/>
      <c r="L121" s="613"/>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26" t="str">
        <f>IF(AND([0]!Godina=2024,MID(Osnovni_podaci!D20,3,1)="e",Osnovni_podaci!L24=5,Osnovni_podaci!G24=0,MID(Osnovni_podaci!D20,3,1)="e",MID(Osnovni_podaci!D20,8,1)="d"),VLOOKUP( $B122, T_Aop[], 6, 1),A1)</f>
        <v xml:space="preserve">  XI UČEŠĆA BEZ PRAVA KONTROLE</v>
      </c>
      <c r="E122" s="627"/>
      <c r="F122" s="627"/>
      <c r="G122" s="627"/>
      <c r="H122" s="628"/>
      <c r="I122" s="170">
        <f>IF(AND([0]!Godina=2024,MID(Osnovni_podaci!D20,3,1)="e",Osnovni_podaci!L24=5,Osnovni_podaci!G24=0,MID(Osnovni_podaci!D20,3,1)="e",MID(Osnovni_podaci!D20,8,1)="d"),VLOOKUP( $B122, T_Aop[], 4, 1),A1)</f>
        <v>131</v>
      </c>
      <c r="J122" s="157"/>
      <c r="K122" s="614"/>
      <c r="L122" s="615"/>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29" t="str">
        <f>IF(AND([0]!Godina=2024,MID(Osnovni_podaci!D20,3,1)="e",Osnovni_podaci!L24=5,Osnovni_podaci!G24=0,MID(Osnovni_podaci!D20,3,1)="e",MID(Osnovni_podaci!D20,8,1)="d"),VLOOKUP( $B123, T_Aop[], 6, 1),A1)</f>
        <v xml:space="preserve">  B. DUGOROČNA REZERVISANJA I DUGOROČNE OBAVEZE (133 + 137 + 145)</v>
      </c>
      <c r="E123" s="630"/>
      <c r="F123" s="630"/>
      <c r="G123" s="630"/>
      <c r="H123" s="631"/>
      <c r="I123" s="171">
        <f>IF(AND([0]!Godina=2024,MID(Osnovni_podaci!D20,3,1)="e",Osnovni_podaci!L24=5,Osnovni_podaci!G24=0,MID(Osnovni_podaci!D20,3,1)="e",MID(Osnovni_podaci!D20,8,1)="d"),VLOOKUP( $B123, T_Aop[], 4, 1),A1)</f>
        <v>132</v>
      </c>
      <c r="J123" s="155"/>
      <c r="K123" s="612"/>
      <c r="L123" s="613"/>
      <c r="M123" s="387">
        <f>SUBTOTAL( 9, M124:M136)</f>
        <v>35023893</v>
      </c>
      <c r="N123" s="398">
        <f>SUBTOTAL( 9, N124:N136)</f>
        <v>32095569</v>
      </c>
      <c r="P123" s="44"/>
    </row>
    <row r="124" spans="2:16" x14ac:dyDescent="0.2">
      <c r="B124" s="15">
        <v>100</v>
      </c>
      <c r="C124" s="357" t="str">
        <f>IF(AND([0]!Godina=2024,MID(Osnovni_podaci!D20,3,1)="e",Osnovni_podaci!L24=5,Osnovni_podaci!G24=0,MID(Osnovni_podaci!D20,3,1)="e",MID(Osnovni_podaci!D20,8,1)="d"),VLOOKUP( $B124, T_Aop[], 5, 1),A1)</f>
        <v>dio 40</v>
      </c>
      <c r="D124" s="626" t="str">
        <f>IF(AND([0]!Godina=2024,MID(Osnovni_podaci!D20,3,1)="e",Osnovni_podaci!L24=5,Osnovni_podaci!G24=0,MID(Osnovni_podaci!D20,3,1)="e",MID(Osnovni_podaci!D20,8,1)="d"),VLOOKUP( $B124, T_Aop[], 6, 1),A1)</f>
        <v xml:space="preserve">  I DUGOROČNA REZERVISANJA (134 do 136)</v>
      </c>
      <c r="E124" s="627"/>
      <c r="F124" s="627"/>
      <c r="G124" s="627"/>
      <c r="H124" s="628"/>
      <c r="I124" s="170">
        <f>IF(AND([0]!Godina=2024,MID(Osnovni_podaci!D20,3,1)="e",Osnovni_podaci!L24=5,Osnovni_podaci!G24=0,MID(Osnovni_podaci!D20,3,1)="e",MID(Osnovni_podaci!D20,8,1)="d"),VLOOKUP( $B124, T_Aop[], 4, 1),A1)</f>
        <v>133</v>
      </c>
      <c r="J124" s="157"/>
      <c r="K124" s="614"/>
      <c r="L124" s="615"/>
      <c r="M124" s="48">
        <f>SUBTOTAL( 9, M125:M127)</f>
        <v>734779</v>
      </c>
      <c r="N124" s="399">
        <f>SUBTOTAL( 9, N125:N127)</f>
        <v>852214</v>
      </c>
      <c r="P124" s="44"/>
    </row>
    <row r="125" spans="2:16" x14ac:dyDescent="0.2">
      <c r="B125" s="15">
        <v>101</v>
      </c>
      <c r="C125" s="358">
        <f>IF(AND([0]!Godina=2024,MID(Osnovni_podaci!D20,3,1)="e",Osnovni_podaci!L24=5,Osnovni_podaci!G24=0,MID(Osnovni_podaci!D20,3,1)="e",MID(Osnovni_podaci!D20,8,1)="d"),VLOOKUP( $B125, T_Aop[], 5, 1),A1)</f>
        <v>400</v>
      </c>
      <c r="D125" s="621" t="str">
        <f>IF(AND([0]!Godina=2024,MID(Osnovni_podaci!D20,3,1)="e",Osnovni_podaci!L24=5,Osnovni_podaci!G24=0,MID(Osnovni_podaci!D20,3,1)="e",MID(Osnovni_podaci!D20,8,1)="d"),VLOOKUP( $B125, T_Aop[], 6, 1),A1)</f>
        <v xml:space="preserve">    1. Rezervisanja za troškove u garantnom roku</v>
      </c>
      <c r="E125" s="622"/>
      <c r="F125" s="622"/>
      <c r="G125" s="622"/>
      <c r="H125" s="623"/>
      <c r="I125" s="122">
        <f>IF(AND([0]!Godina=2024,MID(Osnovni_podaci!D20,3,1)="e",Osnovni_podaci!L24=5,Osnovni_podaci!G24=0,MID(Osnovni_podaci!D20,3,1)="e",MID(Osnovni_podaci!D20,8,1)="d"),VLOOKUP( $B125, T_Aop[], 4, 1),A1)</f>
        <v>134</v>
      </c>
      <c r="J125" s="155"/>
      <c r="K125" s="612"/>
      <c r="L125" s="613"/>
      <c r="M125" s="194"/>
      <c r="N125" s="395"/>
      <c r="P125" s="44"/>
    </row>
    <row r="126" spans="2:16" x14ac:dyDescent="0.2">
      <c r="B126" s="15">
        <v>102</v>
      </c>
      <c r="C126" s="357">
        <f>IF(AND([0]!Godina=2024,MID(Osnovni_podaci!D20,3,1)="e",Osnovni_podaci!L24=5,Osnovni_podaci!G24=0,MID(Osnovni_podaci!D20,3,1)="e",MID(Osnovni_podaci!D20,8,1)="d"),VLOOKUP( $B126, T_Aop[], 5, 1),A1)</f>
        <v>404</v>
      </c>
      <c r="D126" s="618" t="str">
        <f>IF(AND([0]!Godina=2024,MID(Osnovni_podaci!D20,3,1)="e",Osnovni_podaci!L24=5,Osnovni_podaci!G24=0,MID(Osnovni_podaci!D20,3,1)="e",MID(Osnovni_podaci!D20,8,1)="d"),VLOOKUP( $B126, T_Aop[], 6, 1),A1)</f>
        <v xml:space="preserve">    2. Rezervisanja za naknade i beneficije zaposlenih</v>
      </c>
      <c r="E126" s="619"/>
      <c r="F126" s="619"/>
      <c r="G126" s="619"/>
      <c r="H126" s="620"/>
      <c r="I126" s="121">
        <f>IF(AND([0]!Godina=2024,MID(Osnovni_podaci!D20,3,1)="e",Osnovni_podaci!L24=5,Osnovni_podaci!G24=0,MID(Osnovni_podaci!D20,3,1)="e",MID(Osnovni_podaci!D20,8,1)="d"),VLOOKUP( $B126, T_Aop[], 4, 1),A1)</f>
        <v>135</v>
      </c>
      <c r="J126" s="157"/>
      <c r="K126" s="614"/>
      <c r="L126" s="615"/>
      <c r="M126" s="196">
        <v>678939</v>
      </c>
      <c r="N126" s="584">
        <v>796374</v>
      </c>
      <c r="P126" s="44"/>
    </row>
    <row r="127" spans="2:16" x14ac:dyDescent="0.2">
      <c r="B127" s="15">
        <v>103</v>
      </c>
      <c r="C127" s="358" t="str">
        <f>IF(AND([0]!Godina=2024,MID(Osnovni_podaci!D20,3,1)="e",Osnovni_podaci!L24=5,Osnovni_podaci!G24=0,MID(Osnovni_podaci!D20,3,1)="e",MID(Osnovni_podaci!D20,8,1)="d"),VLOOKUP( $B127, T_Aop[], 5, 1),A1)</f>
        <v>401, 402, 403, dio 409</v>
      </c>
      <c r="D127" s="621" t="str">
        <f>IF(AND([0]!Godina=2024,MID(Osnovni_podaci!D20,3,1)="e",Osnovni_podaci!L24=5,Osnovni_podaci!G24=0,MID(Osnovni_podaci!D20,3,1)="e",MID(Osnovni_podaci!D20,8,1)="d"),VLOOKUP( $B127, T_Aop[], 6, 1),A1)</f>
        <v xml:space="preserve">    3. Ostala dugoročna rezervisanja</v>
      </c>
      <c r="E127" s="622"/>
      <c r="F127" s="622"/>
      <c r="G127" s="622"/>
      <c r="H127" s="623"/>
      <c r="I127" s="122">
        <f>IF(AND([0]!Godina=2024,MID(Osnovni_podaci!D20,3,1)="e",Osnovni_podaci!L24=5,Osnovni_podaci!G24=0,MID(Osnovni_podaci!D20,3,1)="e",MID(Osnovni_podaci!D20,8,1)="d"),VLOOKUP( $B127, T_Aop[], 4, 1),A1)</f>
        <v>136</v>
      </c>
      <c r="J127" s="155"/>
      <c r="K127" s="612"/>
      <c r="L127" s="613"/>
      <c r="M127" s="194">
        <v>55840</v>
      </c>
      <c r="N127" s="58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26" t="str">
        <f>IF(AND([0]!Godina=2024,MID(Osnovni_podaci!D20,3,1)="e",Osnovni_podaci!L24=5,Osnovni_podaci!G24=0,MID(Osnovni_podaci!D20,3,1)="e",MID(Osnovni_podaci!D20,8,1)="d"),VLOOKUP( $B128, T_Aop[], 6, 1),A1)</f>
        <v xml:space="preserve">  II DUGOROČNE OBAVEZE (138 do 144)</v>
      </c>
      <c r="E128" s="627"/>
      <c r="F128" s="627"/>
      <c r="G128" s="627"/>
      <c r="H128" s="628"/>
      <c r="I128" s="170">
        <f>IF(AND([0]!Godina=2024,MID(Osnovni_podaci!D20,3,1)="e",Osnovni_podaci!L24=5,Osnovni_podaci!G24=0,MID(Osnovni_podaci!D20,3,1)="e",MID(Osnovni_podaci!D20,8,1)="d"),VLOOKUP( $B128, T_Aop[], 4, 1),A1)</f>
        <v>137</v>
      </c>
      <c r="J128" s="157"/>
      <c r="K128" s="614"/>
      <c r="L128" s="615"/>
      <c r="M128" s="48">
        <f>SUBTOTAL( 9, M129:M135)</f>
        <v>21181040</v>
      </c>
      <c r="N128" s="399">
        <f>SUBTOTAL( 9, N129:N135)</f>
        <v>17968325</v>
      </c>
      <c r="P128" s="44"/>
    </row>
    <row r="129" spans="2:16" x14ac:dyDescent="0.2">
      <c r="B129" s="15">
        <v>105</v>
      </c>
      <c r="C129" s="358">
        <f>IF(AND([0]!Godina=2024,MID(Osnovni_podaci!D20,3,1)="e",Osnovni_podaci!L24=5,Osnovni_podaci!G24=0,MID(Osnovni_podaci!D20,3,1)="e",MID(Osnovni_podaci!D20,8,1)="d"),VLOOKUP( $B129, T_Aop[], 5, 1),A1)</f>
        <v>411</v>
      </c>
      <c r="D129" s="621" t="str">
        <f>IF(AND([0]!Godina=2024,MID(Osnovni_podaci!D20,3,1)="e",Osnovni_podaci!L24=5,Osnovni_podaci!G24=0,MID(Osnovni_podaci!D20,3,1)="e",MID(Osnovni_podaci!D20,8,1)="d"),VLOOKUP( $B129, T_Aop[], 6, 1),A1)</f>
        <v xml:space="preserve">    1. Obaveze prema povezanim pravnim licima</v>
      </c>
      <c r="E129" s="622"/>
      <c r="F129" s="622"/>
      <c r="G129" s="622"/>
      <c r="H129" s="623"/>
      <c r="I129" s="122">
        <f>IF(AND([0]!Godina=2024,MID(Osnovni_podaci!D20,3,1)="e",Osnovni_podaci!L24=5,Osnovni_podaci!G24=0,MID(Osnovni_podaci!D20,3,1)="e",MID(Osnovni_podaci!D20,8,1)="d"),VLOOKUP( $B129, T_Aop[], 4, 1),A1)</f>
        <v>138</v>
      </c>
      <c r="J129" s="155"/>
      <c r="K129" s="612"/>
      <c r="L129" s="613"/>
      <c r="M129" s="194">
        <v>13648497</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18" t="str">
        <f>IF(AND([0]!Godina=2024,MID(Osnovni_podaci!D20,3,1)="e",Osnovni_podaci!L24=5,Osnovni_podaci!G24=0,MID(Osnovni_podaci!D20,3,1)="e",MID(Osnovni_podaci!D20,8,1)="d"),VLOOKUP( $B130, T_Aop[], 6, 1),A1)</f>
        <v xml:space="preserve">    2. Dugoročni krediti u zemlji</v>
      </c>
      <c r="E130" s="619"/>
      <c r="F130" s="619"/>
      <c r="G130" s="619"/>
      <c r="H130" s="620"/>
      <c r="I130" s="121">
        <f>IF(AND([0]!Godina=2024,MID(Osnovni_podaci!D20,3,1)="e",Osnovni_podaci!L24=5,Osnovni_podaci!G24=0,MID(Osnovni_podaci!D20,3,1)="e",MID(Osnovni_podaci!D20,8,1)="d"),VLOOKUP( $B130, T_Aop[], 4, 1),A1)</f>
        <v>139</v>
      </c>
      <c r="J130" s="157"/>
      <c r="K130" s="614"/>
      <c r="L130" s="615"/>
      <c r="M130" s="196"/>
      <c r="N130" s="584"/>
      <c r="P130" s="44"/>
    </row>
    <row r="131" spans="2:16" x14ac:dyDescent="0.2">
      <c r="B131" s="15">
        <v>107</v>
      </c>
      <c r="C131" s="358">
        <f>IF(AND([0]!Godina=2024,MID(Osnovni_podaci!D20,3,1)="e",Osnovni_podaci!L24=5,Osnovni_podaci!G24=0,MID(Osnovni_podaci!D20,3,1)="e",MID(Osnovni_podaci!D20,8,1)="d"),VLOOKUP( $B131, T_Aop[], 5, 1),A1)</f>
        <v>414</v>
      </c>
      <c r="D131" s="621" t="str">
        <f>IF(AND([0]!Godina=2024,MID(Osnovni_podaci!D20,3,1)="e",Osnovni_podaci!L24=5,Osnovni_podaci!G24=0,MID(Osnovni_podaci!D20,3,1)="e",MID(Osnovni_podaci!D20,8,1)="d"),VLOOKUP( $B131, T_Aop[], 6, 1),A1)</f>
        <v xml:space="preserve">    3. Dugoročni krediti u inostranstvu</v>
      </c>
      <c r="E131" s="622"/>
      <c r="F131" s="622"/>
      <c r="G131" s="622"/>
      <c r="H131" s="623"/>
      <c r="I131" s="122">
        <f>IF(AND([0]!Godina=2024,MID(Osnovni_podaci!D20,3,1)="e",Osnovni_podaci!L24=5,Osnovni_podaci!G24=0,MID(Osnovni_podaci!D20,3,1)="e",MID(Osnovni_podaci!D20,8,1)="d"),VLOOKUP( $B131, T_Aop[], 4, 1),A1)</f>
        <v>140</v>
      </c>
      <c r="J131" s="155"/>
      <c r="K131" s="612"/>
      <c r="L131" s="613"/>
      <c r="M131" s="194">
        <v>3603784</v>
      </c>
      <c r="N131" s="575">
        <v>3763425</v>
      </c>
      <c r="P131" s="44"/>
    </row>
    <row r="132" spans="2:16" x14ac:dyDescent="0.2">
      <c r="B132" s="15">
        <v>108</v>
      </c>
      <c r="C132" s="357">
        <f>IF(AND([0]!Godina=2024,MID(Osnovni_podaci!D20,3,1)="e",Osnovni_podaci!L24=5,Osnovni_podaci!G24=0,MID(Osnovni_podaci!D20,3,1)="e",MID(Osnovni_podaci!D20,8,1)="d"),VLOOKUP( $B132, T_Aop[], 5, 1),A1)</f>
        <v>412</v>
      </c>
      <c r="D132" s="618" t="str">
        <f>IF(AND([0]!Godina=2024,MID(Osnovni_podaci!D20,3,1)="e",Osnovni_podaci!L24=5,Osnovni_podaci!G24=0,MID(Osnovni_podaci!D20,3,1)="e",MID(Osnovni_podaci!D20,8,1)="d"),VLOOKUP( $B132, T_Aop[], 6, 1),A1)</f>
        <v xml:space="preserve">    4. Obaveze po emitovanim dužničkim instrumentima</v>
      </c>
      <c r="E132" s="619"/>
      <c r="F132" s="619"/>
      <c r="G132" s="619"/>
      <c r="H132" s="620"/>
      <c r="I132" s="121">
        <f>IF(AND([0]!Godina=2024,MID(Osnovni_podaci!D20,3,1)="e",Osnovni_podaci!L24=5,Osnovni_podaci!G24=0,MID(Osnovni_podaci!D20,3,1)="e",MID(Osnovni_podaci!D20,8,1)="d"),VLOOKUP( $B132, T_Aop[], 4, 1),A1)</f>
        <v>141</v>
      </c>
      <c r="J132" s="157"/>
      <c r="K132" s="614"/>
      <c r="L132" s="615"/>
      <c r="M132" s="196">
        <v>3644854</v>
      </c>
      <c r="N132" s="584">
        <v>3644854</v>
      </c>
      <c r="P132" s="44"/>
    </row>
    <row r="133" spans="2:16" x14ac:dyDescent="0.2">
      <c r="B133" s="15">
        <v>109</v>
      </c>
      <c r="C133" s="358" t="str">
        <f>IF(AND([0]!Godina=2024,MID(Osnovni_podaci!D20,3,1)="e",Osnovni_podaci!L24=5,Osnovni_podaci!G24=0,MID(Osnovni_podaci!D20,3,1)="e",MID(Osnovni_podaci!D20,8,1)="d"),VLOOKUP( $B133, T_Aop[], 5, 1),A1)</f>
        <v>415, 416</v>
      </c>
      <c r="D133" s="621" t="str">
        <f>IF(AND([0]!Godina=2024,MID(Osnovni_podaci!D20,3,1)="e",Osnovni_podaci!L24=5,Osnovni_podaci!G24=0,MID(Osnovni_podaci!D20,3,1)="e",MID(Osnovni_podaci!D20,8,1)="d"),VLOOKUP( $B133, T_Aop[], 6, 1),A1)</f>
        <v xml:space="preserve">    5. Dugoročne obaveze po lizingu</v>
      </c>
      <c r="E133" s="622"/>
      <c r="F133" s="622"/>
      <c r="G133" s="622"/>
      <c r="H133" s="623"/>
      <c r="I133" s="122">
        <f>IF(AND([0]!Godina=2024,MID(Osnovni_podaci!D20,3,1)="e",Osnovni_podaci!L24=5,Osnovni_podaci!G24=0,MID(Osnovni_podaci!D20,3,1)="e",MID(Osnovni_podaci!D20,8,1)="d"),VLOOKUP( $B133, T_Aop[], 4, 1),A1)</f>
        <v>142</v>
      </c>
      <c r="J133" s="155"/>
      <c r="K133" s="612"/>
      <c r="L133" s="613"/>
      <c r="M133" s="194">
        <v>147721</v>
      </c>
      <c r="N133" s="575">
        <v>147860</v>
      </c>
      <c r="P133" s="44"/>
    </row>
    <row r="134" spans="2:16" x14ac:dyDescent="0.2">
      <c r="B134" s="15">
        <v>110</v>
      </c>
      <c r="C134" s="357" t="str">
        <f>IF(AND([0]!Godina=2024,MID(Osnovni_podaci!D20,3,1)="e",Osnovni_podaci!L24=5,Osnovni_podaci!G24=0,MID(Osnovni_podaci!D20,3,1)="e",MID(Osnovni_podaci!D20,8,1)="d"),VLOOKUP( $B134, T_Aop[], 5, 1),A1)</f>
        <v>418</v>
      </c>
      <c r="D134" s="618" t="str">
        <f>IF(AND([0]!Godina=2024,MID(Osnovni_podaci!D20,3,1)="e",Osnovni_podaci!L24=5,Osnovni_podaci!G24=0,MID(Osnovni_podaci!D20,3,1)="e",MID(Osnovni_podaci!D20,8,1)="d"),VLOOKUP( $B134, T_Aop[], 6, 1),A1)</f>
        <v xml:space="preserve">    6. Ostale dugoročne finansijske obaveze po amortizovanoj vrijednosti</v>
      </c>
      <c r="E134" s="619"/>
      <c r="F134" s="619"/>
      <c r="G134" s="619"/>
      <c r="H134" s="620"/>
      <c r="I134" s="121">
        <f>IF(AND([0]!Godina=2024,MID(Osnovni_podaci!D20,3,1)="e",Osnovni_podaci!L24=5,Osnovni_podaci!G24=0,MID(Osnovni_podaci!D20,3,1)="e",MID(Osnovni_podaci!D20,8,1)="d"),VLOOKUP( $B134, T_Aop[], 4, 1),A1)</f>
        <v>143</v>
      </c>
      <c r="J134" s="157"/>
      <c r="K134" s="614"/>
      <c r="L134" s="615"/>
      <c r="M134" s="196"/>
      <c r="N134" s="584"/>
      <c r="P134" s="44"/>
    </row>
    <row r="135" spans="2:16" x14ac:dyDescent="0.2">
      <c r="B135" s="15">
        <v>111</v>
      </c>
      <c r="C135" s="358" t="str">
        <f>IF(AND([0]!Godina=2024,MID(Osnovni_podaci!D20,3,1)="e",Osnovni_podaci!L24=5,Osnovni_podaci!G24=0,MID(Osnovni_podaci!D20,3,1)="e",MID(Osnovni_podaci!D20,8,1)="d"),VLOOKUP( $B135, T_Aop[], 5, 1),A1)</f>
        <v>dio 409, 410, 419</v>
      </c>
      <c r="D135" s="621" t="str">
        <f>IF(AND([0]!Godina=2024,MID(Osnovni_podaci!D20,3,1)="e",Osnovni_podaci!L24=5,Osnovni_podaci!G24=0,MID(Osnovni_podaci!D20,3,1)="e",MID(Osnovni_podaci!D20,8,1)="d"),VLOOKUP( $B135, T_Aop[], 6, 1),A1)</f>
        <v xml:space="preserve">    7. Ostale dugoročne obaveze, uključujući razgraničenja</v>
      </c>
      <c r="E135" s="622"/>
      <c r="F135" s="622"/>
      <c r="G135" s="622"/>
      <c r="H135" s="623"/>
      <c r="I135" s="122">
        <f>IF(AND([0]!Godina=2024,MID(Osnovni_podaci!D20,3,1)="e",Osnovni_podaci!L24=5,Osnovni_podaci!G24=0,MID(Osnovni_podaci!D20,3,1)="e",MID(Osnovni_podaci!D20,8,1)="d"),VLOOKUP( $B135, T_Aop[], 4, 1),A1)</f>
        <v>144</v>
      </c>
      <c r="J135" s="155"/>
      <c r="K135" s="612"/>
      <c r="L135" s="613"/>
      <c r="M135" s="194">
        <v>136184</v>
      </c>
      <c r="N135" s="586">
        <v>136184</v>
      </c>
      <c r="P135" s="44"/>
    </row>
    <row r="136" spans="2:16" x14ac:dyDescent="0.2">
      <c r="B136" s="15">
        <v>112</v>
      </c>
      <c r="C136" s="357">
        <f>IF(AND([0]!Godina=2024,MID(Osnovni_podaci!D20,3,1)="e",Osnovni_podaci!L24=5,Osnovni_podaci!G24=0,MID(Osnovni_podaci!D20,3,1)="e",MID(Osnovni_podaci!D20,8,1)="d"),VLOOKUP( $B136, T_Aop[], 5, 1),A1)</f>
        <v>408</v>
      </c>
      <c r="D136" s="626" t="str">
        <f>IF(AND([0]!Godina=2024,MID(Osnovni_podaci!D20,3,1)="e",Osnovni_podaci!L24=5,Osnovni_podaci!G24=0,MID(Osnovni_podaci!D20,3,1)="e",MID(Osnovni_podaci!D20,8,1)="d"),VLOOKUP( $B136, T_Aop[], 6, 1),A1)</f>
        <v xml:space="preserve">  III RAZGRANIČENI PRIHODI I PRIMLJENE DONACIJE</v>
      </c>
      <c r="E136" s="627"/>
      <c r="F136" s="627"/>
      <c r="G136" s="627"/>
      <c r="H136" s="628"/>
      <c r="I136" s="170">
        <f>IF(AND([0]!Godina=2024,MID(Osnovni_podaci!D20,3,1)="e",Osnovni_podaci!L24=5,Osnovni_podaci!G24=0,MID(Osnovni_podaci!D20,3,1)="e",MID(Osnovni_podaci!D20,8,1)="d"),VLOOKUP( $B136, T_Aop[], 4, 1),A1)</f>
        <v>145</v>
      </c>
      <c r="J136" s="157"/>
      <c r="K136" s="614"/>
      <c r="L136" s="615"/>
      <c r="M136" s="200">
        <v>13108074</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29" t="str">
        <f>IF(AND([0]!Godina=2024,MID(Osnovni_podaci!D20,3,1)="e",Osnovni_podaci!L24=5,Osnovni_podaci!G24=0,MID(Osnovni_podaci!D20,3,1)="e",MID(Osnovni_podaci!D20,8,1)="d"),VLOOKUP( $B137, T_Aop[], 6, 1),A1)</f>
        <v xml:space="preserve">  V. ODLOŽENE PORESKE OBAVEZE </v>
      </c>
      <c r="E137" s="630"/>
      <c r="F137" s="630"/>
      <c r="G137" s="630"/>
      <c r="H137" s="631"/>
      <c r="I137" s="171">
        <f>IF(AND([0]!Godina=2024,MID(Osnovni_podaci!D20,3,1)="e",Osnovni_podaci!L24=5,Osnovni_podaci!G24=0,MID(Osnovni_podaci!D20,3,1)="e",MID(Osnovni_podaci!D20,8,1)="d"),VLOOKUP( $B137, T_Aop[], 4, 1),A1)</f>
        <v>146</v>
      </c>
      <c r="J137" s="155"/>
      <c r="K137" s="612"/>
      <c r="L137" s="613"/>
      <c r="M137" s="198">
        <v>5142892</v>
      </c>
      <c r="N137" s="199">
        <v>5142892</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26"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27"/>
      <c r="F138" s="627"/>
      <c r="G138" s="627"/>
      <c r="H138" s="628"/>
      <c r="I138" s="170">
        <f>IF(AND([0]!Godina=2024,MID(Osnovni_podaci!D20,3,1)="e",Osnovni_podaci!L24=5,Osnovni_podaci!G24=0,MID(Osnovni_podaci!D20,3,1)="e",MID(Osnovni_podaci!D20,8,1)="d"),VLOOKUP( $B138, T_Aop[], 4, 1),A1)</f>
        <v>147</v>
      </c>
      <c r="J138" s="157"/>
      <c r="K138" s="614"/>
      <c r="L138" s="615"/>
      <c r="M138" s="48">
        <f>SUBTOTAL( 9, M139:M159)</f>
        <v>8712294</v>
      </c>
      <c r="N138" s="49">
        <f>SUBTOTAL( 9, N139:N159)</f>
        <v>13125348</v>
      </c>
      <c r="P138" s="44"/>
    </row>
    <row r="139" spans="2:16" x14ac:dyDescent="0.2">
      <c r="B139" s="15">
        <v>115</v>
      </c>
      <c r="C139" s="358">
        <f>IF(AND([0]!Godina=2024,MID(Osnovni_podaci!D20,3,1)="e",Osnovni_podaci!L24=5,Osnovni_podaci!G24=0,MID(Osnovni_podaci!D20,3,1)="e",MID(Osnovni_podaci!D20,8,1)="d"),VLOOKUP( $B139, T_Aop[], 5, 1),A1)</f>
        <v>42</v>
      </c>
      <c r="D139" s="621" t="str">
        <f>IF(AND([0]!Godina=2024,MID(Osnovni_podaci!D20,3,1)="e",Osnovni_podaci!L24=5,Osnovni_podaci!G24=0,MID(Osnovni_podaci!D20,3,1)="e",MID(Osnovni_podaci!D20,8,1)="d"),VLOOKUP( $B139, T_Aop[], 6, 1),A1)</f>
        <v xml:space="preserve">    1. Kratkoročne finansijske obaveze (149 do 154)</v>
      </c>
      <c r="E139" s="622"/>
      <c r="F139" s="622"/>
      <c r="G139" s="622"/>
      <c r="H139" s="623"/>
      <c r="I139" s="122">
        <f>IF(AND([0]!Godina=2024,MID(Osnovni_podaci!D20,3,1)="e",Osnovni_podaci!L24=5,Osnovni_podaci!G24=0,MID(Osnovni_podaci!D20,3,1)="e",MID(Osnovni_podaci!D20,8,1)="d"),VLOOKUP( $B139, T_Aop[], 4, 1),A1)</f>
        <v>148</v>
      </c>
      <c r="J139" s="155"/>
      <c r="K139" s="612"/>
      <c r="L139" s="613"/>
      <c r="M139" s="50">
        <f>SUBTOTAL( 9, M140:M145)</f>
        <v>1370274</v>
      </c>
      <c r="N139" s="51">
        <f>SUBTOTAL( 9, N140:N145)</f>
        <v>2842952</v>
      </c>
      <c r="P139" s="44"/>
    </row>
    <row r="140" spans="2:16" x14ac:dyDescent="0.2">
      <c r="B140" s="15">
        <v>116</v>
      </c>
      <c r="C140" s="357">
        <f>IF(AND([0]!Godina=2024,MID(Osnovni_podaci!D20,3,1)="e",Osnovni_podaci!L24=5,Osnovni_podaci!G24=0,MID(Osnovni_podaci!D20,3,1)="e",MID(Osnovni_podaci!D20,8,1)="d"),VLOOKUP( $B140, T_Aop[], 5, 1),A1)</f>
        <v>420</v>
      </c>
      <c r="D140" s="618" t="str">
        <f>IF(AND([0]!Godina=2024,MID(Osnovni_podaci!D20,3,1)="e",Osnovni_podaci!L24=5,Osnovni_podaci!G24=0,MID(Osnovni_podaci!D20,3,1)="e",MID(Osnovni_podaci!D20,8,1)="d"),VLOOKUP( $B140, T_Aop[], 6, 1),A1)</f>
        <v xml:space="preserve">      1.1. Kratkoročne finansijske obaveze prema povezanim pravnim licima</v>
      </c>
      <c r="E140" s="619"/>
      <c r="F140" s="619"/>
      <c r="G140" s="619"/>
      <c r="H140" s="620"/>
      <c r="I140" s="121">
        <f>IF(AND([0]!Godina=2024,MID(Osnovni_podaci!D20,3,1)="e",Osnovni_podaci!L24=5,Osnovni_podaci!G24=0,MID(Osnovni_podaci!D20,3,1)="e",MID(Osnovni_podaci!D20,8,1)="d"),VLOOKUP( $B140, T_Aop[], 4, 1),A1)</f>
        <v>149</v>
      </c>
      <c r="J140" s="157"/>
      <c r="K140" s="614"/>
      <c r="L140" s="615"/>
      <c r="M140" s="196">
        <v>352934</v>
      </c>
      <c r="N140" s="584">
        <v>986025</v>
      </c>
      <c r="P140" s="44"/>
    </row>
    <row r="141" spans="2:16" x14ac:dyDescent="0.2">
      <c r="B141" s="15">
        <v>117</v>
      </c>
      <c r="C141" s="358" t="str">
        <f>IF(AND([0]!Godina=2024,MID(Osnovni_podaci!D20,3,1)="e",Osnovni_podaci!L24=5,Osnovni_podaci!G24=0,MID(Osnovni_podaci!D20,3,1)="e",MID(Osnovni_podaci!D20,8,1)="d"),VLOOKUP( $B141, T_Aop[], 5, 1),A1)</f>
        <v>421 do 424</v>
      </c>
      <c r="D141" s="621" t="str">
        <f>IF(AND([0]!Godina=2024,MID(Osnovni_podaci!D20,3,1)="e",Osnovni_podaci!L24=5,Osnovni_podaci!G24=0,MID(Osnovni_podaci!D20,3,1)="e",MID(Osnovni_podaci!D20,8,1)="d"),VLOOKUP( $B141, T_Aop[], 6, 1),A1)</f>
        <v xml:space="preserve">      1.2. Kratkoročni krediti i obaveze po emitovanim kratkoročnim hartijama od vrijednosti</v>
      </c>
      <c r="E141" s="622"/>
      <c r="F141" s="622"/>
      <c r="G141" s="622"/>
      <c r="H141" s="623"/>
      <c r="I141" s="122">
        <f>IF(AND([0]!Godina=2024,MID(Osnovni_podaci!D20,3,1)="e",Osnovni_podaci!L24=5,Osnovni_podaci!G24=0,MID(Osnovni_podaci!D20,3,1)="e",MID(Osnovni_podaci!D20,8,1)="d"),VLOOKUP( $B141, T_Aop[], 4, 1),A1)</f>
        <v>150</v>
      </c>
      <c r="J141" s="155"/>
      <c r="K141" s="612"/>
      <c r="L141" s="613"/>
      <c r="M141" s="194">
        <v>1008265</v>
      </c>
      <c r="N141" s="575">
        <v>1824351</v>
      </c>
      <c r="P141" s="44"/>
    </row>
    <row r="142" spans="2:16" x14ac:dyDescent="0.2">
      <c r="B142" s="15">
        <v>118</v>
      </c>
      <c r="C142" s="357" t="str">
        <f>IF(AND([0]!Godina=2024,MID(Osnovni_podaci!D20,3,1)="e",Osnovni_podaci!L24=5,Osnovni_podaci!G24=0,MID(Osnovni_podaci!D20,3,1)="e",MID(Osnovni_podaci!D20,8,1)="d"),VLOOKUP( $B142, T_Aop[], 5, 1),A1)</f>
        <v>425 i 426</v>
      </c>
      <c r="D142" s="618" t="str">
        <f>IF(AND([0]!Godina=2024,MID(Osnovni_podaci!D20,3,1)="e",Osnovni_podaci!L24=5,Osnovni_podaci!G24=0,MID(Osnovni_podaci!D20,3,1)="e",MID(Osnovni_podaci!D20,8,1)="d"),VLOOKUP( $B142, T_Aop[], 6, 1),A1)</f>
        <v xml:space="preserve">      1.3. Kratkoročne obaveze po lizingu</v>
      </c>
      <c r="E142" s="619"/>
      <c r="F142" s="619"/>
      <c r="G142" s="619"/>
      <c r="H142" s="620"/>
      <c r="I142" s="121">
        <f>IF(AND([0]!Godina=2024,MID(Osnovni_podaci!D20,3,1)="e",Osnovni_podaci!L24=5,Osnovni_podaci!G24=0,MID(Osnovni_podaci!D20,3,1)="e",MID(Osnovni_podaci!D20,8,1)="d"),VLOOKUP( $B142, T_Aop[], 4, 1),A1)</f>
        <v>151</v>
      </c>
      <c r="J142" s="157"/>
      <c r="K142" s="614"/>
      <c r="L142" s="615"/>
      <c r="M142" s="196">
        <v>9075</v>
      </c>
      <c r="N142" s="584">
        <v>32576</v>
      </c>
      <c r="P142" s="44"/>
    </row>
    <row r="143" spans="2:16" x14ac:dyDescent="0.2">
      <c r="B143" s="15">
        <v>119</v>
      </c>
      <c r="C143" s="358">
        <f>IF(AND([0]!Godina=2024,MID(Osnovni_podaci!D20,3,1)="e",Osnovni_podaci!L24=5,Osnovni_podaci!G24=0,MID(Osnovni_podaci!D20,3,1)="e",MID(Osnovni_podaci!D20,8,1)="d"),VLOOKUP( $B143, T_Aop[], 5, 1),A1)</f>
        <v>427</v>
      </c>
      <c r="D143" s="621" t="str">
        <f>IF(AND([0]!Godina=2024,MID(Osnovni_podaci!D20,3,1)="e",Osnovni_podaci!L24=5,Osnovni_podaci!G24=0,MID(Osnovni_podaci!D20,3,1)="e",MID(Osnovni_podaci!D20,8,1)="d"),VLOOKUP( $B143, T_Aop[], 6, 1),A1)</f>
        <v xml:space="preserve">      1.4. Kratkoročne obaveze po fer vrijednosti kroz bilans uspjeha</v>
      </c>
      <c r="E143" s="622"/>
      <c r="F143" s="622"/>
      <c r="G143" s="622"/>
      <c r="H143" s="623"/>
      <c r="I143" s="122">
        <f>IF(AND([0]!Godina=2024,MID(Osnovni_podaci!D20,3,1)="e",Osnovni_podaci!L24=5,Osnovni_podaci!G24=0,MID(Osnovni_podaci!D20,3,1)="e",MID(Osnovni_podaci!D20,8,1)="d"),VLOOKUP( $B143, T_Aop[], 4, 1),A1)</f>
        <v>152</v>
      </c>
      <c r="J143" s="155"/>
      <c r="K143" s="612"/>
      <c r="L143" s="613"/>
      <c r="M143" s="194"/>
      <c r="N143" s="195"/>
      <c r="P143" s="44"/>
    </row>
    <row r="144" spans="2:16" x14ac:dyDescent="0.2">
      <c r="B144" s="15">
        <v>120</v>
      </c>
      <c r="C144" s="357">
        <f>IF(AND([0]!Godina=2024,MID(Osnovni_podaci!D20,3,1)="e",Osnovni_podaci!L24=5,Osnovni_podaci!G24=0,MID(Osnovni_podaci!D20,3,1)="e",MID(Osnovni_podaci!D20,8,1)="d"),VLOOKUP( $B144, T_Aop[], 5, 1),A1)</f>
        <v>428</v>
      </c>
      <c r="D144" s="618" t="str">
        <f>IF(AND([0]!Godina=2024,MID(Osnovni_podaci!D20,3,1)="e",Osnovni_podaci!L24=5,Osnovni_podaci!G24=0,MID(Osnovni_podaci!D20,3,1)="e",MID(Osnovni_podaci!D20,8,1)="d"),VLOOKUP( $B144, T_Aop[], 6, 1),A1)</f>
        <v xml:space="preserve">      1.5. Derivatne finansijske obaveze</v>
      </c>
      <c r="E144" s="619"/>
      <c r="F144" s="619"/>
      <c r="G144" s="619"/>
      <c r="H144" s="620"/>
      <c r="I144" s="121">
        <f>IF(AND([0]!Godina=2024,MID(Osnovni_podaci!D20,3,1)="e",Osnovni_podaci!L24=5,Osnovni_podaci!G24=0,MID(Osnovni_podaci!D20,3,1)="e",MID(Osnovni_podaci!D20,8,1)="d"),VLOOKUP( $B144, T_Aop[], 4, 1),A1)</f>
        <v>153</v>
      </c>
      <c r="J144" s="157"/>
      <c r="K144" s="614"/>
      <c r="L144" s="615"/>
      <c r="M144" s="196"/>
      <c r="N144" s="197"/>
      <c r="P144" s="44"/>
    </row>
    <row r="145" spans="2:16" x14ac:dyDescent="0.2">
      <c r="B145" s="15">
        <v>121</v>
      </c>
      <c r="C145" s="358">
        <f>IF(AND([0]!Godina=2024,MID(Osnovni_podaci!D20,3,1)="e",Osnovni_podaci!L24=5,Osnovni_podaci!G24=0,MID(Osnovni_podaci!D20,3,1)="e",MID(Osnovni_podaci!D20,8,1)="d"),VLOOKUP( $B145, T_Aop[], 5, 1),A1)</f>
        <v>429</v>
      </c>
      <c r="D145" s="621" t="str">
        <f>IF(AND([0]!Godina=2024,MID(Osnovni_podaci!D20,3,1)="e",Osnovni_podaci!L24=5,Osnovni_podaci!G24=0,MID(Osnovni_podaci!D20,3,1)="e",MID(Osnovni_podaci!D20,8,1)="d"),VLOOKUP( $B145, T_Aop[], 6, 1),A1)</f>
        <v xml:space="preserve">      1.6. Ostale obaveze po amortizovanoj vrijednosti</v>
      </c>
      <c r="E145" s="622"/>
      <c r="F145" s="622"/>
      <c r="G145" s="622"/>
      <c r="H145" s="623"/>
      <c r="I145" s="122">
        <f>IF(AND([0]!Godina=2024,MID(Osnovni_podaci!D20,3,1)="e",Osnovni_podaci!L24=5,Osnovni_podaci!G24=0,MID(Osnovni_podaci!D20,3,1)="e",MID(Osnovni_podaci!D20,8,1)="d"),VLOOKUP( $B145, T_Aop[], 4, 1),A1)</f>
        <v>154</v>
      </c>
      <c r="J145" s="155"/>
      <c r="K145" s="612"/>
      <c r="L145" s="613"/>
      <c r="M145" s="194"/>
      <c r="N145" s="195"/>
      <c r="P145" s="44"/>
    </row>
    <row r="146" spans="2:16" x14ac:dyDescent="0.2">
      <c r="B146" s="15">
        <v>122</v>
      </c>
      <c r="C146" s="357">
        <f>IF(AND([0]!Godina=2024,MID(Osnovni_podaci!D20,3,1)="e",Osnovni_podaci!L24=5,Osnovni_podaci!G24=0,MID(Osnovni_podaci!D20,3,1)="e",MID(Osnovni_podaci!D20,8,1)="d"),VLOOKUP( $B146, T_Aop[], 5, 1),A1)</f>
        <v>43</v>
      </c>
      <c r="D146" s="618" t="str">
        <f>IF(AND([0]!Godina=2024,MID(Osnovni_podaci!D20,3,1)="e",Osnovni_podaci!L24=5,Osnovni_podaci!G24=0,MID(Osnovni_podaci!D20,3,1)="e",MID(Osnovni_podaci!D20,8,1)="d"),VLOOKUP( $B146, T_Aop[], 6, 1),A1)</f>
        <v xml:space="preserve">    2. Obaveze iz poslovanja (156 do 160)</v>
      </c>
      <c r="E146" s="619"/>
      <c r="F146" s="619"/>
      <c r="G146" s="619"/>
      <c r="H146" s="620"/>
      <c r="I146" s="121">
        <f>IF(AND([0]!Godina=2024,MID(Osnovni_podaci!D20,3,1)="e",Osnovni_podaci!L24=5,Osnovni_podaci!G24=0,MID(Osnovni_podaci!D20,3,1)="e",MID(Osnovni_podaci!D20,8,1)="d"),VLOOKUP( $B146, T_Aop[], 4, 1),A1)</f>
        <v>155</v>
      </c>
      <c r="J146" s="157"/>
      <c r="K146" s="614"/>
      <c r="L146" s="615"/>
      <c r="M146" s="441">
        <f>SUBTOTAL( 9, M147:M151)</f>
        <v>4770960</v>
      </c>
      <c r="N146" s="446">
        <f>SUBTOTAL( 9, N147:N151)</f>
        <v>7441866</v>
      </c>
      <c r="P146" s="44"/>
    </row>
    <row r="147" spans="2:16" x14ac:dyDescent="0.2">
      <c r="B147" s="15">
        <v>123</v>
      </c>
      <c r="C147" s="358" t="str">
        <f>IF(AND([0]!Godina=2024,MID(Osnovni_podaci!D20,3,1)="e",Osnovni_podaci!L24=5,Osnovni_podaci!G24=0,MID(Osnovni_podaci!D20,3,1)="e",MID(Osnovni_podaci!D20,8,1)="d"),VLOOKUP( $B147, T_Aop[], 5, 1),A1)</f>
        <v>430 i 436</v>
      </c>
      <c r="D147" s="621" t="str">
        <f>IF(AND([0]!Godina=2024,MID(Osnovni_podaci!D20,3,1)="e",Osnovni_podaci!L24=5,Osnovni_podaci!G24=0,MID(Osnovni_podaci!D20,3,1)="e",MID(Osnovni_podaci!D20,8,1)="d"),VLOOKUP( $B147, T_Aop[], 6, 1),A1)</f>
        <v xml:space="preserve">      2.1. Primljeni avansi, depoziti i kaucije</v>
      </c>
      <c r="E147" s="622"/>
      <c r="F147" s="622"/>
      <c r="G147" s="622"/>
      <c r="H147" s="623"/>
      <c r="I147" s="122">
        <f>IF(AND([0]!Godina=2024,MID(Osnovni_podaci!D20,3,1)="e",Osnovni_podaci!L24=5,Osnovni_podaci!G24=0,MID(Osnovni_podaci!D20,3,1)="e",MID(Osnovni_podaci!D20,8,1)="d"),VLOOKUP( $B147, T_Aop[], 4, 1),A1)</f>
        <v>156</v>
      </c>
      <c r="J147" s="155"/>
      <c r="K147" s="612"/>
      <c r="L147" s="613"/>
      <c r="M147" s="194">
        <v>423060</v>
      </c>
      <c r="N147" s="575">
        <v>411034</v>
      </c>
      <c r="P147" s="44"/>
    </row>
    <row r="148" spans="2:16" x14ac:dyDescent="0.2">
      <c r="B148" s="15">
        <v>124</v>
      </c>
      <c r="C148" s="357">
        <f>IF(AND([0]!Godina=2024,MID(Osnovni_podaci!D20,3,1)="e",Osnovni_podaci!L24=5,Osnovni_podaci!G24=0,MID(Osnovni_podaci!D20,3,1)="e",MID(Osnovni_podaci!D20,8,1)="d"),VLOOKUP( $B148, T_Aop[], 5, 1),A1)</f>
        <v>431</v>
      </c>
      <c r="D148" s="618" t="str">
        <f>IF(AND([0]!Godina=2024,MID(Osnovni_podaci!D20,3,1)="e",Osnovni_podaci!L24=5,Osnovni_podaci!G24=0,MID(Osnovni_podaci!D20,3,1)="e",MID(Osnovni_podaci!D20,8,1)="d"),VLOOKUP( $B148, T_Aop[], 6, 1),A1)</f>
        <v xml:space="preserve">      2.2. Dobavljači – povezana pravna lica</v>
      </c>
      <c r="E148" s="619"/>
      <c r="F148" s="619"/>
      <c r="G148" s="619"/>
      <c r="H148" s="620"/>
      <c r="I148" s="121">
        <f>IF(AND([0]!Godina=2024,MID(Osnovni_podaci!D20,3,1)="e",Osnovni_podaci!L24=5,Osnovni_podaci!G24=0,MID(Osnovni_podaci!D20,3,1)="e",MID(Osnovni_podaci!D20,8,1)="d"),VLOOKUP( $B148, T_Aop[], 4, 1),A1)</f>
        <v>157</v>
      </c>
      <c r="J148" s="157"/>
      <c r="K148" s="614"/>
      <c r="L148" s="615"/>
      <c r="M148" s="196">
        <v>2673844</v>
      </c>
      <c r="N148" s="584">
        <v>5707670</v>
      </c>
      <c r="P148" s="44"/>
    </row>
    <row r="149" spans="2:16" x14ac:dyDescent="0.2">
      <c r="B149" s="15">
        <v>125</v>
      </c>
      <c r="C149" s="358" t="str">
        <f>IF(AND([0]!Godina=2024,MID(Osnovni_podaci!D20,3,1)="e",Osnovni_podaci!L24=5,Osnovni_podaci!G24=0,MID(Osnovni_podaci!D20,3,1)="e",MID(Osnovni_podaci!D20,8,1)="d"),VLOOKUP( $B149, T_Aop[], 5, 1),A1)</f>
        <v>432, 433, 434</v>
      </c>
      <c r="D149" s="621" t="str">
        <f>IF(AND([0]!Godina=2024,MID(Osnovni_podaci!D20,3,1)="e",Osnovni_podaci!L24=5,Osnovni_podaci!G24=0,MID(Osnovni_podaci!D20,3,1)="e",MID(Osnovni_podaci!D20,8,1)="d"),VLOOKUP( $B149, T_Aop[], 6, 1),A1)</f>
        <v xml:space="preserve">      2.3. Dobavljači u zemlji</v>
      </c>
      <c r="E149" s="622"/>
      <c r="F149" s="622"/>
      <c r="G149" s="622"/>
      <c r="H149" s="623"/>
      <c r="I149" s="122">
        <f>IF(AND([0]!Godina=2024,MID(Osnovni_podaci!D20,3,1)="e",Osnovni_podaci!L24=5,Osnovni_podaci!G24=0,MID(Osnovni_podaci!D20,3,1)="e",MID(Osnovni_podaci!D20,8,1)="d"),VLOOKUP( $B149, T_Aop[], 4, 1),A1)</f>
        <v>158</v>
      </c>
      <c r="J149" s="155"/>
      <c r="K149" s="612"/>
      <c r="L149" s="613"/>
      <c r="M149" s="194">
        <v>1651233</v>
      </c>
      <c r="N149" s="575">
        <v>1254957</v>
      </c>
      <c r="P149" s="44"/>
    </row>
    <row r="150" spans="2:16" x14ac:dyDescent="0.2">
      <c r="B150" s="15">
        <v>126</v>
      </c>
      <c r="C150" s="357">
        <f>IF(AND([0]!Godina=2024,MID(Osnovni_podaci!D20,3,1)="e",Osnovni_podaci!L24=5,Osnovni_podaci!G24=0,MID(Osnovni_podaci!D20,3,1)="e",MID(Osnovni_podaci!D20,8,1)="d"),VLOOKUP( $B150, T_Aop[], 5, 1),A1)</f>
        <v>435</v>
      </c>
      <c r="D150" s="618" t="str">
        <f>IF(AND([0]!Godina=2024,MID(Osnovni_podaci!D20,3,1)="e",Osnovni_podaci!L24=5,Osnovni_podaci!G24=0,MID(Osnovni_podaci!D20,3,1)="e",MID(Osnovni_podaci!D20,8,1)="d"),VLOOKUP( $B150, T_Aop[], 6, 1),A1)</f>
        <v xml:space="preserve">      2.4. Dobavljači iz inostranstva</v>
      </c>
      <c r="E150" s="619"/>
      <c r="F150" s="619"/>
      <c r="G150" s="619"/>
      <c r="H150" s="620"/>
      <c r="I150" s="121">
        <f>IF(AND([0]!Godina=2024,MID(Osnovni_podaci!D20,3,1)="e",Osnovni_podaci!L24=5,Osnovni_podaci!G24=0,MID(Osnovni_podaci!D20,3,1)="e",MID(Osnovni_podaci!D20,8,1)="d"),VLOOKUP( $B150, T_Aop[], 4, 1),A1)</f>
        <v>159</v>
      </c>
      <c r="J150" s="157"/>
      <c r="K150" s="614"/>
      <c r="L150" s="615"/>
      <c r="M150" s="196">
        <v>22823</v>
      </c>
      <c r="N150" s="584">
        <v>68205</v>
      </c>
      <c r="P150" s="44"/>
    </row>
    <row r="151" spans="2:16" x14ac:dyDescent="0.2">
      <c r="B151" s="15">
        <v>127</v>
      </c>
      <c r="C151" s="358" t="str">
        <f>IF(AND([0]!Godina=2024,MID(Osnovni_podaci!D20,3,1)="e",Osnovni_podaci!L24=5,Osnovni_podaci!G24=0,MID(Osnovni_podaci!D20,3,1)="e",MID(Osnovni_podaci!D20,8,1)="d"),VLOOKUP( $B151, T_Aop[], 5, 1),A1)</f>
        <v>437, 439</v>
      </c>
      <c r="D151" s="621" t="str">
        <f>IF(AND([0]!Godina=2024,MID(Osnovni_podaci!D20,3,1)="e",Osnovni_podaci!L24=5,Osnovni_podaci!G24=0,MID(Osnovni_podaci!D20,3,1)="e",MID(Osnovni_podaci!D20,8,1)="d"),VLOOKUP( $B151, T_Aop[], 6, 1),A1)</f>
        <v xml:space="preserve">      2.5. Ostale obaveze iz poslovanja</v>
      </c>
      <c r="E151" s="622"/>
      <c r="F151" s="622"/>
      <c r="G151" s="622"/>
      <c r="H151" s="623"/>
      <c r="I151" s="122">
        <f>IF(AND([0]!Godina=2024,MID(Osnovni_podaci!D20,3,1)="e",Osnovni_podaci!L24=5,Osnovni_podaci!G24=0,MID(Osnovni_podaci!D20,3,1)="e",MID(Osnovni_podaci!D20,8,1)="d"),VLOOKUP( $B151, T_Aop[], 4, 1),A1)</f>
        <v>160</v>
      </c>
      <c r="J151" s="155"/>
      <c r="K151" s="612"/>
      <c r="L151" s="613"/>
      <c r="M151" s="194"/>
      <c r="N151" s="575"/>
      <c r="P151" s="44"/>
    </row>
    <row r="152" spans="2:16" x14ac:dyDescent="0.2">
      <c r="B152" s="15">
        <v>128</v>
      </c>
      <c r="C152" s="357" t="str">
        <f>IF(AND([0]!Godina=2024,MID(Osnovni_podaci!D20,3,1)="e",Osnovni_podaci!L24=5,Osnovni_podaci!G24=0,MID(Osnovni_podaci!D20,3,1)="e",MID(Osnovni_podaci!D20,8,1)="d"),VLOOKUP( $B152, T_Aop[], 5, 1),A1)</f>
        <v>440 do 449</v>
      </c>
      <c r="D152" s="618" t="str">
        <f>IF(AND([0]!Godina=2024,MID(Osnovni_podaci!D20,3,1)="e",Osnovni_podaci!L24=5,Osnovni_podaci!G24=0,MID(Osnovni_podaci!D20,3,1)="e",MID(Osnovni_podaci!D20,8,1)="d"),VLOOKUP( $B152, T_Aop[], 6, 1),A1)</f>
        <v xml:space="preserve">    3. Obaveze iz specifičnih poslova</v>
      </c>
      <c r="E152" s="619"/>
      <c r="F152" s="619"/>
      <c r="G152" s="619"/>
      <c r="H152" s="620"/>
      <c r="I152" s="121">
        <f>IF(AND([0]!Godina=2024,MID(Osnovni_podaci!D20,3,1)="e",Osnovni_podaci!L24=5,Osnovni_podaci!G24=0,MID(Osnovni_podaci!D20,3,1)="e",MID(Osnovni_podaci!D20,8,1)="d"),VLOOKUP( $B152, T_Aop[], 4, 1),A1)</f>
        <v>161</v>
      </c>
      <c r="J152" s="157"/>
      <c r="K152" s="614"/>
      <c r="L152" s="615"/>
      <c r="M152" s="196">
        <v>425605</v>
      </c>
      <c r="N152" s="584">
        <v>420319</v>
      </c>
      <c r="P152" s="44"/>
    </row>
    <row r="153" spans="2:16" x14ac:dyDescent="0.2">
      <c r="B153" s="15">
        <v>129</v>
      </c>
      <c r="C153" s="358" t="str">
        <f>IF(AND([0]!Godina=2024,MID(Osnovni_podaci!D20,3,1)="e",Osnovni_podaci!L24=5,Osnovni_podaci!G24=0,MID(Osnovni_podaci!D20,3,1)="e",MID(Osnovni_podaci!D20,8,1)="d"),VLOOKUP( $B153, T_Aop[], 5, 1),A1)</f>
        <v>450 do 458</v>
      </c>
      <c r="D153" s="621" t="str">
        <f>IF(AND([0]!Godina=2024,MID(Osnovni_podaci!D20,3,1)="e",Osnovni_podaci!L24=5,Osnovni_podaci!G24=0,MID(Osnovni_podaci!D20,3,1)="e",MID(Osnovni_podaci!D20,8,1)="d"),VLOOKUP( $B153, T_Aop[], 6, 1),A1)</f>
        <v xml:space="preserve">    4. Obaveze za plate i naknade plata</v>
      </c>
      <c r="E153" s="622"/>
      <c r="F153" s="622"/>
      <c r="G153" s="622"/>
      <c r="H153" s="623"/>
      <c r="I153" s="122">
        <f>IF(AND([0]!Godina=2024,MID(Osnovni_podaci!D20,3,1)="e",Osnovni_podaci!L24=5,Osnovni_podaci!G24=0,MID(Osnovni_podaci!D20,3,1)="e",MID(Osnovni_podaci!D20,8,1)="d"),VLOOKUP( $B153, T_Aop[], 4, 1),A1)</f>
        <v>162</v>
      </c>
      <c r="J153" s="155"/>
      <c r="K153" s="612"/>
      <c r="L153" s="613"/>
      <c r="M153" s="194">
        <v>1064692</v>
      </c>
      <c r="N153" s="575">
        <v>993516</v>
      </c>
      <c r="P153" s="44"/>
    </row>
    <row r="154" spans="2:16" x14ac:dyDescent="0.2">
      <c r="B154" s="15">
        <v>130</v>
      </c>
      <c r="C154" s="357" t="str">
        <f>IF(AND([0]!Godina=2024,MID(Osnovni_podaci!D20,3,1)="e",Osnovni_podaci!L24=5,Osnovni_podaci!G24=0,MID(Osnovni_podaci!D20,3,1)="e",MID(Osnovni_podaci!D20,8,1)="d"),VLOOKUP( $B154, T_Aop[], 5, 1),A1)</f>
        <v>460 do 469</v>
      </c>
      <c r="D154" s="618" t="str">
        <f>IF(AND([0]!Godina=2024,MID(Osnovni_podaci!D20,3,1)="e",Osnovni_podaci!L24=5,Osnovni_podaci!G24=0,MID(Osnovni_podaci!D20,3,1)="e",MID(Osnovni_podaci!D20,8,1)="d"),VLOOKUP( $B154, T_Aop[], 6, 1),A1)</f>
        <v xml:space="preserve">    5. Ostale obaveze</v>
      </c>
      <c r="E154" s="619"/>
      <c r="F154" s="619"/>
      <c r="G154" s="619"/>
      <c r="H154" s="620"/>
      <c r="I154" s="121">
        <f>IF(AND([0]!Godina=2024,MID(Osnovni_podaci!D20,3,1)="e",Osnovni_podaci!L24=5,Osnovni_podaci!G24=0,MID(Osnovni_podaci!D20,3,1)="e",MID(Osnovni_podaci!D20,8,1)="d"),VLOOKUP( $B154, T_Aop[], 4, 1),A1)</f>
        <v>163</v>
      </c>
      <c r="J154" s="157"/>
      <c r="K154" s="614"/>
      <c r="L154" s="615"/>
      <c r="M154" s="196">
        <v>19525</v>
      </c>
      <c r="N154" s="584">
        <v>21085</v>
      </c>
      <c r="P154" s="44"/>
    </row>
    <row r="155" spans="2:16" x14ac:dyDescent="0.2">
      <c r="B155" s="15">
        <v>131</v>
      </c>
      <c r="C155" s="358" t="str">
        <f>IF(AND([0]!Godina=2024,MID(Osnovni_podaci!D20,3,1)="e",Osnovni_podaci!L24=5,Osnovni_podaci!G24=0,MID(Osnovni_podaci!D20,3,1)="e",MID(Osnovni_podaci!D20,8,1)="d"),VLOOKUP( $B155, T_Aop[], 5, 1),A1)</f>
        <v>470 do 479</v>
      </c>
      <c r="D155" s="621" t="str">
        <f>IF(AND([0]!Godina=2024,MID(Osnovni_podaci!D20,3,1)="e",Osnovni_podaci!L24=5,Osnovni_podaci!G24=0,MID(Osnovni_podaci!D20,3,1)="e",MID(Osnovni_podaci!D20,8,1)="d"),VLOOKUP( $B155, T_Aop[], 6, 1),A1)</f>
        <v xml:space="preserve">    6. Porez na dodatu vrijednost</v>
      </c>
      <c r="E155" s="622"/>
      <c r="F155" s="622"/>
      <c r="G155" s="622"/>
      <c r="H155" s="623"/>
      <c r="I155" s="122">
        <f>IF(AND([0]!Godina=2024,MID(Osnovni_podaci!D20,3,1)="e",Osnovni_podaci!L24=5,Osnovni_podaci!G24=0,MID(Osnovni_podaci!D20,3,1)="e",MID(Osnovni_podaci!D20,8,1)="d"),VLOOKUP( $B155, T_Aop[], 4, 1),A1)</f>
        <v>164</v>
      </c>
      <c r="J155" s="155"/>
      <c r="K155" s="612"/>
      <c r="L155" s="613"/>
      <c r="M155" s="194">
        <v>88204</v>
      </c>
      <c r="N155" s="575">
        <v>204805</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18" t="str">
        <f>IF(AND([0]!Godina=2024,MID(Osnovni_podaci!D20,3,1)="e",Osnovni_podaci!L24=5,Osnovni_podaci!G24=0,MID(Osnovni_podaci!D20,3,1)="e",MID(Osnovni_podaci!D20,8,1)="d"),VLOOKUP( $B156, T_Aop[], 6, 1),A1)</f>
        <v xml:space="preserve">    7. Obaveze za ostale poreze, doprinose i druge dažbine</v>
      </c>
      <c r="E156" s="619"/>
      <c r="F156" s="619"/>
      <c r="G156" s="619"/>
      <c r="H156" s="620"/>
      <c r="I156" s="121">
        <f>IF(AND([0]!Godina=2024,MID(Osnovni_podaci!D20,3,1)="e",Osnovni_podaci!L24=5,Osnovni_podaci!G24=0,MID(Osnovni_podaci!D20,3,1)="e",MID(Osnovni_podaci!D20,8,1)="d"),VLOOKUP( $B156, T_Aop[], 4, 1),A1)</f>
        <v>165</v>
      </c>
      <c r="J156" s="157"/>
      <c r="K156" s="614"/>
      <c r="L156" s="615"/>
      <c r="M156" s="196">
        <v>14792</v>
      </c>
      <c r="N156" s="584">
        <v>49966</v>
      </c>
      <c r="P156" s="44"/>
    </row>
    <row r="157" spans="2:16" ht="10.5" customHeight="1" x14ac:dyDescent="0.2">
      <c r="B157" s="15">
        <v>133</v>
      </c>
      <c r="C157" s="358">
        <f>IF(AND([0]!Godina=2024,MID(Osnovni_podaci!D20,3,1)="e",Osnovni_podaci!L24=5,Osnovni_podaci!G24=0,MID(Osnovni_podaci!D20,3,1)="e",MID(Osnovni_podaci!D20,8,1)="d"),VLOOKUP( $B157, T_Aop[], 5, 1),A1)</f>
        <v>481</v>
      </c>
      <c r="D157" s="621" t="str">
        <f>IF(AND([0]!Godina=2024,MID(Osnovni_podaci!D20,3,1)="e",Osnovni_podaci!L24=5,Osnovni_podaci!G24=0,MID(Osnovni_podaci!D20,3,1)="e",MID(Osnovni_podaci!D20,8,1)="d"),VLOOKUP( $B157, T_Aop[], 6, 1),A1)</f>
        <v xml:space="preserve">    8. Obaveze za porez na dobit</v>
      </c>
      <c r="E157" s="622"/>
      <c r="F157" s="622"/>
      <c r="G157" s="622"/>
      <c r="H157" s="623"/>
      <c r="I157" s="122">
        <f>IF(AND([0]!Godina=2024,MID(Osnovni_podaci!D20,3,1)="e",Osnovni_podaci!L24=5,Osnovni_podaci!G24=0,MID(Osnovni_podaci!D20,3,1)="e",MID(Osnovni_podaci!D20,8,1)="d"),VLOOKUP( $B157, T_Aop[], 4, 1),A1)</f>
        <v>166</v>
      </c>
      <c r="J157" s="155"/>
      <c r="K157" s="612"/>
      <c r="L157" s="613"/>
      <c r="M157" s="194"/>
      <c r="N157" s="575">
        <v>151948</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18" t="str">
        <f>IF(AND([0]!Godina=2024,MID(Osnovni_podaci!D20,3,1)="e",Osnovni_podaci!L24=5,Osnovni_podaci!G24=0,MID(Osnovni_podaci!D20,3,1)="e",MID(Osnovni_podaci!D20,8,1)="d"),VLOOKUP( $B158, T_Aop[], 6, 1),A1)</f>
        <v xml:space="preserve">    9. Kratkoročna razgraničenja</v>
      </c>
      <c r="E158" s="619"/>
      <c r="F158" s="619"/>
      <c r="G158" s="619"/>
      <c r="H158" s="620"/>
      <c r="I158" s="121">
        <f>IF(AND([0]!Godina=2024,MID(Osnovni_podaci!D20,3,1)="e",Osnovni_podaci!L24=5,Osnovni_podaci!G24=0,MID(Osnovni_podaci!D20,3,1)="e",MID(Osnovni_podaci!D20,8,1)="d"),VLOOKUP( $B158, T_Aop[], 4, 1),A1)</f>
        <v>167</v>
      </c>
      <c r="J158" s="157"/>
      <c r="K158" s="614"/>
      <c r="L158" s="615"/>
      <c r="M158" s="196">
        <v>958242</v>
      </c>
      <c r="N158" s="584">
        <v>998891</v>
      </c>
      <c r="P158" s="44"/>
    </row>
    <row r="159" spans="2:16" ht="12.75" customHeight="1" x14ac:dyDescent="0.2">
      <c r="B159" s="15">
        <v>135</v>
      </c>
      <c r="C159" s="358">
        <f>VLOOKUP( $B159, T_Aop[], 5, 1)</f>
        <v>496</v>
      </c>
      <c r="D159" s="621" t="str">
        <f>IF(AND([0]!Godina=2024,MID(Osnovni_podaci!D20,3,1)="e",Osnovni_podaci!L24=5,Osnovni_podaci!G24=0,MID(Osnovni_podaci!D20,3,1)="e",MID(Osnovni_podaci!D20,8,1)="d"),VLOOKUP( $B159, T_Aop[], 6, 1),A1)</f>
        <v xml:space="preserve">    10. Kratkoročna rezervisanja</v>
      </c>
      <c r="E159" s="622"/>
      <c r="F159" s="622"/>
      <c r="G159" s="622"/>
      <c r="H159" s="623"/>
      <c r="I159" s="122">
        <f>IF(AND([0]!Godina=2024,MID(Osnovni_podaci!D20,3,1)="e",Osnovni_podaci!L24=5,Osnovni_podaci!G24=0,MID(Osnovni_podaci!D20,3,1)="e",MID(Osnovni_podaci!D20,8,1)="d"),VLOOKUP( $B159, T_Aop[], 4, 1),A1)</f>
        <v>168</v>
      </c>
      <c r="J159" s="155"/>
      <c r="K159" s="612"/>
      <c r="L159" s="613"/>
      <c r="M159" s="194"/>
      <c r="N159" s="195"/>
    </row>
    <row r="160" spans="2:16" ht="6" customHeight="1" x14ac:dyDescent="0.2">
      <c r="B160" s="15">
        <v>136</v>
      </c>
      <c r="C160" s="357"/>
      <c r="D160" s="618" t="str">
        <f>IF(AND([0]!Godina=2024,MID(Osnovni_podaci!D20,3,1)="e",Osnovni_podaci!L24=5,Osnovni_podaci!G24=0,MID(Osnovni_podaci!D20,3,1)="e",MID(Osnovni_podaci!D20,8,1)="d"),VLOOKUP( $B160, T_Aop[], 6, 1),A1)</f>
        <v/>
      </c>
      <c r="E160" s="619"/>
      <c r="F160" s="619"/>
      <c r="G160" s="619"/>
      <c r="H160" s="620"/>
      <c r="I160" s="170">
        <f>IF(AND([0]!Godina=2024,MID(Osnovni_podaci!D20,3,1)="e",Osnovni_podaci!L24=5,Osnovni_podaci!G24=0,MID(Osnovni_podaci!D20,3,1)="e",MID(Osnovni_podaci!D20,8,1)="d"),VLOOKUP( $B160, T_Aop[], 4, 1),A1)</f>
        <v>0</v>
      </c>
      <c r="J160" s="157"/>
      <c r="K160" s="614"/>
      <c r="L160" s="615"/>
      <c r="M160" s="196"/>
      <c r="N160" s="197"/>
    </row>
    <row r="161" spans="2:20" ht="12.75" customHeight="1" x14ac:dyDescent="0.2">
      <c r="B161" s="15">
        <v>137</v>
      </c>
      <c r="C161" s="358"/>
      <c r="D161" s="629" t="str">
        <f>IF(AND([0]!Godina=2024,MID(Osnovni_podaci!D20,3,1)="e",Osnovni_podaci!L24=5,Osnovni_podaci!G24=0,MID(Osnovni_podaci!D20,3,1)="e",MID(Osnovni_podaci!D20,8,1)="d"),VLOOKUP( $B161, T_Aop[], 6, 1),A1)</f>
        <v xml:space="preserve">  D. BILANSNA PASIVA (101 + 132 + 146 + 147)</v>
      </c>
      <c r="E161" s="630"/>
      <c r="F161" s="630"/>
      <c r="G161" s="630"/>
      <c r="H161" s="631"/>
      <c r="I161" s="171">
        <f>IF(AND([0]!Godina=2024,MID(Osnovni_podaci!D20,3,1)="e",Osnovni_podaci!L24=5,Osnovni_podaci!G24=0,MID(Osnovni_podaci!D20,3,1)="e",MID(Osnovni_podaci!D20,8,1)="d"),VLOOKUP( $B161, T_Aop[], 4, 1),A1)</f>
        <v>169</v>
      </c>
      <c r="J161" s="155"/>
      <c r="K161" s="612"/>
      <c r="L161" s="613"/>
      <c r="M161" s="387">
        <f>SUBTOTAL( 9, M93:M100, M106:M109,M104, M110:M112,M113,M115:M118,M122:M159) - SUBTOTAL( 9, M114, M101:M103, M105,  M119:M121)</f>
        <v>148560795</v>
      </c>
      <c r="N161" s="398">
        <f>SUBTOTAL( 9, N93:N100, N106:N109,N104, N110:N112,N113,N115:N118,N122:N159) - SUBTOTAL( 9, N114, N101:N103, N105,  N119:N121)</f>
        <v>146398234</v>
      </c>
    </row>
    <row r="162" spans="2:20" ht="9.75" customHeight="1" x14ac:dyDescent="0.2">
      <c r="B162" s="15">
        <v>138</v>
      </c>
      <c r="C162" s="363" t="str">
        <f>VLOOKUP( $B162, T_Aop[], 5, 1)</f>
        <v>890 do 898</v>
      </c>
      <c r="D162" s="672" t="str">
        <f>IF(AND([0]!Godina=2024,MID(Osnovni_podaci!D20,3,1)="e",Osnovni_podaci!L24=5,Osnovni_podaci!G24=0,MID(Osnovni_podaci!D20,3,1)="e",MID(Osnovni_podaci!D20,8,1)="d"),VLOOKUP( $B162, T_Aop[], 6, 1),A1)</f>
        <v xml:space="preserve">  Đ. VANBILANSNA PASIVA</v>
      </c>
      <c r="E162" s="673"/>
      <c r="F162" s="673"/>
      <c r="G162" s="673"/>
      <c r="H162" s="674"/>
      <c r="I162" s="173">
        <f>IF(AND([0]!Godina=2024,MID(Osnovni_podaci!D20,3,1)="e",Osnovni_podaci!L24=5,Osnovni_podaci!G24=0,MID(Osnovni_podaci!D20,3,1)="e",MID(Osnovni_podaci!D20,8,1)="d"),VLOOKUP( $B162, T_Aop[], 4, 1),A1)</f>
        <v>170</v>
      </c>
      <c r="J162" s="507"/>
      <c r="K162" s="616"/>
      <c r="L162" s="617"/>
      <c r="M162" s="434">
        <v>28922698</v>
      </c>
      <c r="N162" s="435">
        <v>29002149</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88" t="str">
        <f>Podatak_Lice_sa_licencom</f>
        <v>Slobodan Butulija</v>
      </c>
      <c r="G167" s="688"/>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31.10.2024.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str">
        <f>_xlfn.TEXTJOIN(" ",FALSE,Osnovni_podaci!D66,Osnovni_podaci!D68)</f>
        <v xml:space="preserve"> </v>
      </c>
      <c r="I170" s="37"/>
      <c r="J170" s="687"/>
      <c r="K170" s="687"/>
      <c r="L170" s="687"/>
    </row>
    <row r="171" spans="2:20" hidden="1" x14ac:dyDescent="0.2">
      <c r="D171" s="127"/>
      <c r="E171"/>
      <c r="F171" s="688"/>
      <c r="G171" s="688"/>
      <c r="H171" s="8"/>
      <c r="I171" s="78"/>
      <c r="J171" s="689" t="s">
        <v>472</v>
      </c>
      <c r="K171" s="689"/>
      <c r="L171" s="689"/>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K3CamFDmcs+2y8+HvJ3P7bnEq6BaQRV7Pc4suHCHhsIhPazIESzM42QVirsQ/VOUG0u9A1wozE1OCvqt+yvgQ==" saltValue="lxYYBKn78R64Q/Vk7/5C/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tabSelected="1" showWhiteSpace="0" zoomScaleNormal="100" zoomScaleSheetLayoutView="100" workbookViewId="0">
      <pane xSplit="16383" ySplit="4" topLeftCell="XFD66" activePane="bottomRight" state="frozen"/>
      <selection activeCell="S33" sqref="S33"/>
      <selection pane="topRight" activeCell="S33" sqref="S33"/>
      <selection pane="bottomLeft" activeCell="S33" sqref="S33"/>
      <selection pane="bottomRight" activeCell="J147" sqref="J147:L147"/>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7" t="str">
        <f>Zaglavlje_Naziv_preduzeca</f>
        <v xml:space="preserve">Naziv privrednog društva, zadruge, drugog pravnog lica ili preduzetnika: </v>
      </c>
      <c r="D5" s="647"/>
      <c r="E5" s="647"/>
      <c r="K5" s="9"/>
      <c r="L5" s="391" t="str">
        <f>Podatak_MB</f>
        <v>01814788</v>
      </c>
    </row>
    <row r="6" spans="3:12" ht="14.25" customHeight="1" x14ac:dyDescent="0.2">
      <c r="C6" s="647"/>
      <c r="D6" s="647"/>
      <c r="E6" s="647"/>
      <c r="F6" s="9"/>
      <c r="K6" s="9"/>
      <c r="L6" s="420" t="str">
        <f>Zaglavlje_MB</f>
        <v>Matični broj</v>
      </c>
    </row>
    <row r="7" spans="3:12" ht="14.25" customHeight="1" x14ac:dyDescent="0.2">
      <c r="C7" s="667" t="str">
        <f>Podatak_Naziv_preduzeca</f>
        <v>Elektrodistribucija a.d. Pale</v>
      </c>
      <c r="D7" s="667"/>
      <c r="E7" s="667"/>
      <c r="F7" s="17"/>
      <c r="K7" s="9"/>
      <c r="L7" s="391" t="str">
        <f>Podatak_Sifra_djelatnosti</f>
        <v>35.13</v>
      </c>
    </row>
    <row r="8" spans="3:12" ht="12.75" customHeight="1" x14ac:dyDescent="0.2">
      <c r="C8" s="125" t="str">
        <f>Zaglavlje_Sjediste</f>
        <v>Sjedište:</v>
      </c>
      <c r="D8" s="624" t="str">
        <f>Podatak_Sjediste</f>
        <v>Pale</v>
      </c>
      <c r="E8" s="624"/>
      <c r="F8" s="17"/>
      <c r="K8" s="9"/>
      <c r="L8" s="420" t="str">
        <f>Zaglavlje_Sifra_djelatnosti</f>
        <v>Šifra djelatnosti</v>
      </c>
    </row>
    <row r="9" spans="3:12" ht="12.75" customHeight="1" x14ac:dyDescent="0.2">
      <c r="C9" s="666" t="str">
        <f>Zaglavlje_Ziro_racun</f>
        <v>Račun kod ovlašćene organizacije za platni promet:</v>
      </c>
      <c r="D9" s="666"/>
      <c r="E9" s="666"/>
      <c r="F9" s="243"/>
      <c r="K9" s="9"/>
      <c r="L9" s="391" t="str">
        <f>Podatak_JIB</f>
        <v>4400570050004</v>
      </c>
    </row>
    <row r="10" spans="3:12" ht="12.75" customHeight="1" x14ac:dyDescent="0.2">
      <c r="C10" s="670" t="str">
        <f>Podatak_Ziro_racun_1</f>
        <v>562-012-00002669-48</v>
      </c>
      <c r="D10" s="670"/>
      <c r="E10" s="670"/>
      <c r="F10" s="14"/>
      <c r="G10" s="13"/>
      <c r="H10" s="13"/>
      <c r="I10" s="13"/>
      <c r="J10" s="13"/>
      <c r="K10" s="692" t="str">
        <f>Zaglavlje_JIB</f>
        <v>JIB</v>
      </c>
      <c r="L10" s="692"/>
    </row>
    <row r="11" spans="3:12" ht="12.75" customHeight="1" x14ac:dyDescent="0.2">
      <c r="C11" s="670" t="str">
        <f>Podatak_Ziro_racun_2</f>
        <v>555-002-00004363-23</v>
      </c>
      <c r="D11" s="670"/>
      <c r="E11" s="670"/>
      <c r="F11" s="14"/>
      <c r="J11" s="244"/>
      <c r="K11" s="244"/>
    </row>
    <row r="12" spans="3:12" ht="12.75" customHeight="1" x14ac:dyDescent="0.2">
      <c r="C12" s="719" t="str">
        <f>Podatak_Ziro_racun_3</f>
        <v>567-491-10000002-86</v>
      </c>
      <c r="D12" s="719"/>
      <c r="E12" s="719"/>
      <c r="F12" s="14"/>
      <c r="J12" s="244"/>
      <c r="K12" s="244"/>
    </row>
    <row r="13" spans="3:12" ht="12.75" customHeight="1" x14ac:dyDescent="0.2">
      <c r="C13" s="719" t="str">
        <f>Podatak_Ziro_racun_4</f>
        <v/>
      </c>
      <c r="D13" s="719"/>
      <c r="E13" s="719"/>
      <c r="F13" s="18"/>
      <c r="G13" s="18"/>
      <c r="H13" s="18"/>
      <c r="I13" s="18"/>
      <c r="J13"/>
      <c r="K13"/>
    </row>
    <row r="14" spans="3:12" ht="12.75" customHeight="1" x14ac:dyDescent="0.2">
      <c r="C14" s="625" t="str">
        <f>IF( Id_Konsolidovani, Nazivi_bilansa_Konsolidovani_naziv &amp; LOWER( Nazivi_bilansa_BUa), Nazivi_bilansa_BUa)</f>
        <v>Bilans uspjeha</v>
      </c>
      <c r="D14" s="625"/>
      <c r="E14" s="625"/>
      <c r="F14" s="625"/>
      <c r="G14" s="625"/>
      <c r="H14" s="625"/>
      <c r="I14" s="625"/>
      <c r="J14" s="625"/>
      <c r="K14" s="625"/>
      <c r="L14" s="625"/>
    </row>
    <row r="15" spans="3:12" ht="12.75" customHeight="1" x14ac:dyDescent="0.2">
      <c r="C15" s="663" t="str">
        <f>Nazivi_bilansa_BUa1</f>
        <v>(Izvještaj o ukupnom rezultatu u periodu)</v>
      </c>
      <c r="D15" s="663"/>
      <c r="E15" s="663"/>
      <c r="F15" s="663"/>
      <c r="G15" s="663"/>
      <c r="H15" s="663"/>
      <c r="I15" s="663"/>
      <c r="J15" s="663"/>
      <c r="K15" s="663"/>
      <c r="L15" s="663"/>
    </row>
    <row r="16" spans="3:12" ht="12.75" customHeight="1" x14ac:dyDescent="0.2">
      <c r="C16" s="663" t="str">
        <f>Datumi_Datum_BU</f>
        <v>za period od 01.01. do 30.09.2024. godine</v>
      </c>
      <c r="D16" s="663"/>
      <c r="E16" s="663"/>
      <c r="F16" s="663"/>
      <c r="G16" s="663"/>
      <c r="H16" s="663"/>
      <c r="I16" s="663"/>
      <c r="J16" s="663"/>
      <c r="K16" s="663"/>
      <c r="L16" s="663"/>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699" t="str">
        <f>Tabele_zaglavlje_Grupa_racuna</f>
        <v>Grupa računa, račun</v>
      </c>
      <c r="D18" s="701" t="str">
        <f>Tabele_zaglavlje_Pozicija</f>
        <v>POZICIJA</v>
      </c>
      <c r="E18" s="702"/>
      <c r="F18" s="702"/>
      <c r="G18" s="702"/>
      <c r="H18" s="703"/>
      <c r="I18" s="720" t="str">
        <f>Tabele_zaglavlje_Oznaka_aop</f>
        <v>Oznaka za AOP</v>
      </c>
      <c r="J18" s="720" t="str">
        <f>Tabele_zaglavlje_Napomena_aop</f>
        <v>Napomena</v>
      </c>
      <c r="K18" s="725" t="str">
        <f>Tabele_zaglavlje_Iznos</f>
        <v>Iznos</v>
      </c>
      <c r="L18" s="726"/>
    </row>
    <row r="19" spans="2:16" ht="20.25" customHeight="1" x14ac:dyDescent="0.2">
      <c r="C19" s="700"/>
      <c r="D19" s="704"/>
      <c r="E19" s="705"/>
      <c r="F19" s="705"/>
      <c r="G19" s="705"/>
      <c r="H19" s="706"/>
      <c r="I19" s="721"/>
      <c r="J19" s="721"/>
      <c r="K19" s="42" t="str">
        <f>Tabele_zaglavlje_Tekuca_godina</f>
        <v>Tekuća godina</v>
      </c>
      <c r="L19" s="43" t="str">
        <f>Tabele_zaglavlje_Prethodna_godina</f>
        <v>Prethodna godina</v>
      </c>
      <c r="P19" s="134" t="s">
        <v>490</v>
      </c>
    </row>
    <row r="20" spans="2:16" ht="12.75" customHeight="1" x14ac:dyDescent="0.2">
      <c r="B20" s="44" t="s">
        <v>123</v>
      </c>
      <c r="C20" s="443">
        <v>1</v>
      </c>
      <c r="D20" s="707">
        <v>2</v>
      </c>
      <c r="E20" s="708"/>
      <c r="F20" s="708"/>
      <c r="G20" s="708"/>
      <c r="H20" s="709"/>
      <c r="I20" s="407">
        <v>3</v>
      </c>
      <c r="J20" s="407">
        <v>4</v>
      </c>
      <c r="K20" s="407">
        <v>5</v>
      </c>
      <c r="L20" s="408">
        <v>6</v>
      </c>
    </row>
    <row r="21" spans="2:16" ht="25.5" customHeight="1" x14ac:dyDescent="0.2">
      <c r="B21" s="15">
        <v>139</v>
      </c>
      <c r="C21" s="449">
        <f>VLOOKUP( $B21, T_Aop[], 5, 1)</f>
        <v>0</v>
      </c>
      <c r="D21" s="710" t="str">
        <f>VLOOKUP( $B21, T_Aop[], 6, 1)</f>
        <v xml:space="preserve">  A. POSLOVNI PRIHODI I RASHODI
I POSLOVNI PRIHODI 
(202 + 206 + 210 + 214 – 215 + 216 – 217 + 218)</v>
      </c>
      <c r="E21" s="711"/>
      <c r="F21" s="711"/>
      <c r="G21" s="711"/>
      <c r="H21" s="712"/>
      <c r="I21" s="499">
        <f>VLOOKUP( $B21, T_Aop[], 4, 1)</f>
        <v>201</v>
      </c>
      <c r="J21" s="494"/>
      <c r="K21" s="405">
        <f>IF(AND([0]!Godina=2024,MID(Osnovni_podaci!D20,3,1)="e",Osnovni_podaci!L24=5,Osnovni_podaci!G24=0,MID(Osnovni_podaci!D20,3,1)="e",MID(Osnovni_podaci!D20,8,1)="d"),SUBTOTAL(9,K22:K33,K34,K36,K38)-SUBTOTAL(9,K35,K37),A1)</f>
        <v>28977612</v>
      </c>
      <c r="L21" s="406">
        <f>IF(AND([0]!Godina=2024,MID(Osnovni_podaci!D20,3,1)="e",Osnovni_podaci!L24=5,Osnovni_podaci!G24=0,MID(Osnovni_podaci!D20,3,1)="e",MID(Osnovni_podaci!D20,8,1)="d"),SUBTOTAL(9,L22:L33,L34,L36,L38)-SUBTOTAL(9,L35,L37),A1)</f>
        <v>26196956</v>
      </c>
      <c r="N21" s="44"/>
      <c r="P21" s="183"/>
    </row>
    <row r="22" spans="2:16" ht="13.5" customHeight="1" x14ac:dyDescent="0.2">
      <c r="B22" s="15">
        <v>140</v>
      </c>
      <c r="C22" s="58">
        <f>VLOOKUP( $B22, T_Aop[], 5, 1)</f>
        <v>60</v>
      </c>
      <c r="D22" s="693" t="str">
        <f>VLOOKUP( $B22, T_Aop[], 6, 1)</f>
        <v xml:space="preserve">    1. Prihodi od prodaje robe (203 do 205)</v>
      </c>
      <c r="E22" s="694"/>
      <c r="F22" s="694"/>
      <c r="G22" s="694"/>
      <c r="H22" s="695"/>
      <c r="I22" s="59">
        <f>VLOOKUP( $B22, T_Aop[], 4, 1)</f>
        <v>202</v>
      </c>
      <c r="J22" s="452"/>
      <c r="K22" s="454">
        <f>IF(AND([0]!Godina=2024,MID(Osnovni_podaci!D20,3,1)="e",Osnovni_podaci!L24=5,Osnovni_podaci!G24=0,MID(Osnovni_podaci!D20,3,1)="e",MID(Osnovni_podaci!D20,8,1)="d"),SUBTOTAL( 9, K23:K25),A1)</f>
        <v>12233</v>
      </c>
      <c r="L22" s="455">
        <f>IF(AND([0]!Godina=2024,MID(Osnovni_podaci!D20,3,1)="e",Osnovni_podaci!L24=5,Osnovni_podaci!G24=0,MID(Osnovni_podaci!D20,3,1)="e",MID(Osnovni_podaci!D20,8,1)="d"),SUBTOTAL( 9, L23:L25),A1)</f>
        <v>32073</v>
      </c>
      <c r="N22" s="44"/>
      <c r="P22" s="183"/>
    </row>
    <row r="23" spans="2:16" ht="13.5" customHeight="1" x14ac:dyDescent="0.2">
      <c r="B23" s="15">
        <v>141</v>
      </c>
      <c r="C23" s="62" t="str">
        <f>VLOOKUP( $B23, T_Aop[], 5, 1)</f>
        <v>600, dio 605</v>
      </c>
      <c r="D23" s="696" t="str">
        <f>VLOOKUP( $B23, T_Aop[], 6, 1)</f>
        <v xml:space="preserve">      a) Prihodi od prodaje robe povezanim pravnim licima</v>
      </c>
      <c r="E23" s="697"/>
      <c r="F23" s="697"/>
      <c r="G23" s="697"/>
      <c r="H23" s="698"/>
      <c r="I23" s="63">
        <f>VLOOKUP( $B23, T_Aop[], 4, 1)</f>
        <v>203</v>
      </c>
      <c r="J23" s="450"/>
      <c r="K23" s="450"/>
      <c r="L23" s="451"/>
      <c r="N23" s="44"/>
      <c r="P23" s="183"/>
    </row>
    <row r="24" spans="2:16" ht="22.5" customHeight="1" x14ac:dyDescent="0.2">
      <c r="B24" s="15">
        <v>142</v>
      </c>
      <c r="C24" s="58" t="str">
        <f>VLOOKUP( $B24, T_Aop[], 5, 1)</f>
        <v>601, 602, 603,dio 605</v>
      </c>
      <c r="D24" s="693" t="str">
        <f>VLOOKUP( $B24, T_Aop[], 6, 1)</f>
        <v xml:space="preserve">      b) Prihodi od prodaje robe na domaćem tržištu</v>
      </c>
      <c r="E24" s="694"/>
      <c r="F24" s="694"/>
      <c r="G24" s="694"/>
      <c r="H24" s="695"/>
      <c r="I24" s="59">
        <f>VLOOKUP( $B24, T_Aop[], 4, 1)</f>
        <v>204</v>
      </c>
      <c r="J24" s="452"/>
      <c r="K24" s="452">
        <v>12233</v>
      </c>
      <c r="L24" s="453">
        <v>32073</v>
      </c>
      <c r="N24" s="44"/>
      <c r="P24" s="183"/>
    </row>
    <row r="25" spans="2:16" ht="13.5" customHeight="1" x14ac:dyDescent="0.2">
      <c r="B25" s="15">
        <v>143</v>
      </c>
      <c r="C25" s="62" t="str">
        <f>VLOOKUP( $B25, T_Aop[], 5, 1)</f>
        <v>604, dio 605</v>
      </c>
      <c r="D25" s="696" t="str">
        <f>VLOOKUP( $B25, T_Aop[], 6, 1)</f>
        <v xml:space="preserve">      c) Prihodi od prodaje robe na inostranom tržištu</v>
      </c>
      <c r="E25" s="697"/>
      <c r="F25" s="697"/>
      <c r="G25" s="697"/>
      <c r="H25" s="698"/>
      <c r="I25" s="63">
        <f>VLOOKUP( $B25, T_Aop[], 4, 1)</f>
        <v>205</v>
      </c>
      <c r="J25" s="450"/>
      <c r="K25" s="450"/>
      <c r="L25" s="451"/>
      <c r="N25" s="44"/>
      <c r="P25" s="183"/>
    </row>
    <row r="26" spans="2:16" ht="13.5" customHeight="1" x14ac:dyDescent="0.2">
      <c r="B26" s="15">
        <v>144</v>
      </c>
      <c r="C26" s="58" t="str">
        <f>VLOOKUP( $B26, T_Aop[], 5, 1)</f>
        <v>61</v>
      </c>
      <c r="D26" s="693" t="str">
        <f>VLOOKUP( $B26, T_Aop[], 6, 1)</f>
        <v xml:space="preserve">    2. Prihodi od prodaje proizvoda (207 do 209)</v>
      </c>
      <c r="E26" s="694"/>
      <c r="F26" s="694"/>
      <c r="G26" s="694"/>
      <c r="H26" s="695"/>
      <c r="I26" s="59">
        <f>VLOOKUP( $B26, T_Aop[], 4, 1)</f>
        <v>206</v>
      </c>
      <c r="J26" s="452"/>
      <c r="K26" s="454">
        <f>IF(AND([0]!Godina=2024,MID(Osnovni_podaci!D20,3,1)="e",Osnovni_podaci!L24=5,Osnovni_podaci!G24=0,MID(Osnovni_podaci!D20,3,1)="e",MID(Osnovni_podaci!D20,8,1)="d"),SUBTOTAL( 9, K27:K29),A1)</f>
        <v>0</v>
      </c>
      <c r="L26" s="455">
        <f>IF(AND([0]!Godina=2024,MID(Osnovni_podaci!D20,3,1)="e",Osnovni_podaci!L24=5,Osnovni_podaci!G24=0,MID(Osnovni_podaci!D20,3,1)="e",MID(Osnovni_podaci!D20,8,1)="d"),SUBTOTAL( 9, L27:L29),A1)</f>
        <v>0</v>
      </c>
      <c r="N26" s="44"/>
      <c r="P26" s="183"/>
    </row>
    <row r="27" spans="2:16" ht="13.5" customHeight="1" x14ac:dyDescent="0.2">
      <c r="B27" s="15">
        <v>145</v>
      </c>
      <c r="C27" s="62" t="str">
        <f>VLOOKUP( $B27, T_Aop[], 5, 1)</f>
        <v>610, dio 615</v>
      </c>
      <c r="D27" s="696" t="str">
        <f>VLOOKUP( $B27, T_Aop[], 6, 1)</f>
        <v xml:space="preserve">      a) Prihodi od prodaje proizvoda povezanim pravnim licima</v>
      </c>
      <c r="E27" s="697"/>
      <c r="F27" s="697"/>
      <c r="G27" s="697"/>
      <c r="H27" s="698"/>
      <c r="I27" s="63">
        <f>VLOOKUP( $B27, T_Aop[], 4, 1)</f>
        <v>207</v>
      </c>
      <c r="J27" s="450"/>
      <c r="K27" s="450"/>
      <c r="L27" s="451"/>
      <c r="N27" s="44"/>
      <c r="P27" s="183"/>
    </row>
    <row r="28" spans="2:16" ht="22.5" customHeight="1" x14ac:dyDescent="0.2">
      <c r="B28" s="15">
        <v>146</v>
      </c>
      <c r="C28" s="58" t="str">
        <f>VLOOKUP( $B28, T_Aop[], 5, 1)</f>
        <v>611, 612, 613, dio 615</v>
      </c>
      <c r="D28" s="693" t="str">
        <f>VLOOKUP( $B28, T_Aop[], 6, 1)</f>
        <v xml:space="preserve">      b) Prihodi od prodaje proizvoda na domaćem tržištu</v>
      </c>
      <c r="E28" s="694"/>
      <c r="F28" s="694"/>
      <c r="G28" s="694"/>
      <c r="H28" s="695"/>
      <c r="I28" s="59">
        <f>VLOOKUP( $B28, T_Aop[], 4, 1)</f>
        <v>208</v>
      </c>
      <c r="J28" s="452"/>
      <c r="K28" s="452"/>
      <c r="L28" s="453"/>
      <c r="N28" s="44"/>
      <c r="P28" s="183"/>
    </row>
    <row r="29" spans="2:16" ht="13.5" customHeight="1" x14ac:dyDescent="0.2">
      <c r="B29" s="15">
        <v>147</v>
      </c>
      <c r="C29" s="62" t="str">
        <f>VLOOKUP( $B29, T_Aop[], 5, 1)</f>
        <v>614, dio 615</v>
      </c>
      <c r="D29" s="696" t="str">
        <f>VLOOKUP( $B29, T_Aop[], 6, 1)</f>
        <v xml:space="preserve">      c) Prihodi od prodaje proizvoda na inostranom tržištu</v>
      </c>
      <c r="E29" s="697"/>
      <c r="F29" s="697"/>
      <c r="G29" s="697"/>
      <c r="H29" s="698"/>
      <c r="I29" s="63">
        <f>VLOOKUP( $B29, T_Aop[], 4, 1)</f>
        <v>209</v>
      </c>
      <c r="J29" s="450"/>
      <c r="K29" s="450"/>
      <c r="L29" s="451"/>
      <c r="N29" s="44"/>
      <c r="P29" s="183"/>
    </row>
    <row r="30" spans="2:16" ht="13.5" customHeight="1" x14ac:dyDescent="0.2">
      <c r="B30" s="15">
        <v>148</v>
      </c>
      <c r="C30" s="58" t="str">
        <f>VLOOKUP( $B30, T_Aop[], 5, 1)</f>
        <v>62</v>
      </c>
      <c r="D30" s="693" t="str">
        <f>VLOOKUP( $B30, T_Aop[], 6, 1)</f>
        <v xml:space="preserve">     3. Prihodi od pruženih usluga (211 do 213)</v>
      </c>
      <c r="E30" s="694"/>
      <c r="F30" s="694"/>
      <c r="G30" s="694"/>
      <c r="H30" s="695"/>
      <c r="I30" s="59">
        <f>VLOOKUP( $B30, T_Aop[], 4, 1)</f>
        <v>210</v>
      </c>
      <c r="J30" s="452"/>
      <c r="K30" s="153">
        <f>IF(AND([0]!Godina=2024,MID(Osnovni_podaci!D20,3,1)="e",Osnovni_podaci!L24=5,Osnovni_podaci!G24=0,MID(Osnovni_podaci!D20,3,1)="e",MID(Osnovni_podaci!D20,8,1)="d"),SUBTOTAL( 9, K31:K33),A1)</f>
        <v>24978663</v>
      </c>
      <c r="L30" s="477">
        <f>IF(AND([0]!Godina=2024,MID(Osnovni_podaci!D20,3,1)="e",Osnovni_podaci!L24=5,Osnovni_podaci!G24=0,MID(Osnovni_podaci!D20,3,1)="e",MID(Osnovni_podaci!D20,8,1)="d"),SUBTOTAL( 9, L31:L33),A1)</f>
        <v>24218843</v>
      </c>
      <c r="N30" s="44"/>
      <c r="P30" s="183"/>
    </row>
    <row r="31" spans="2:16" ht="13.5" customHeight="1" x14ac:dyDescent="0.2">
      <c r="B31" s="15">
        <v>149</v>
      </c>
      <c r="C31" s="62" t="str">
        <f>VLOOKUP( $B31, T_Aop[], 5, 1)</f>
        <v>620, dio 625</v>
      </c>
      <c r="D31" s="696" t="str">
        <f>VLOOKUP( $B31, T_Aop[], 6, 1)</f>
        <v xml:space="preserve">      a) Prihodi od pruženih usluga povezanim licima</v>
      </c>
      <c r="E31" s="697"/>
      <c r="F31" s="697"/>
      <c r="G31" s="697"/>
      <c r="H31" s="698"/>
      <c r="I31" s="63">
        <f>VLOOKUP( $B31, T_Aop[], 4, 1)</f>
        <v>211</v>
      </c>
      <c r="J31" s="450"/>
      <c r="K31" s="450">
        <v>23844357</v>
      </c>
      <c r="L31" s="451">
        <v>23333547</v>
      </c>
      <c r="N31" s="44"/>
      <c r="P31" s="183"/>
    </row>
    <row r="32" spans="2:16" ht="22.5" customHeight="1" x14ac:dyDescent="0.2">
      <c r="B32" s="15">
        <v>150</v>
      </c>
      <c r="C32" s="58" t="str">
        <f>VLOOKUP( $B32, T_Aop[], 5, 1)</f>
        <v>621, 622, 623, dio 625</v>
      </c>
      <c r="D32" s="693" t="str">
        <f>VLOOKUP( $B32, T_Aop[], 6, 1)</f>
        <v xml:space="preserve">      b) Prihodi od pruženih usluga na domaćem tržištu</v>
      </c>
      <c r="E32" s="694"/>
      <c r="F32" s="694"/>
      <c r="G32" s="694"/>
      <c r="H32" s="695"/>
      <c r="I32" s="59">
        <f>VLOOKUP( $B32, T_Aop[], 4, 1)</f>
        <v>212</v>
      </c>
      <c r="J32" s="452"/>
      <c r="K32" s="452">
        <v>1134306</v>
      </c>
      <c r="L32" s="453">
        <v>885296</v>
      </c>
      <c r="N32" s="44"/>
      <c r="P32" s="183"/>
    </row>
    <row r="33" spans="2:16" ht="13.5" customHeight="1" x14ac:dyDescent="0.2">
      <c r="B33" s="15">
        <v>151</v>
      </c>
      <c r="C33" s="62" t="str">
        <f>VLOOKUP( $B33, T_Aop[], 5, 1)</f>
        <v>624, dio 625</v>
      </c>
      <c r="D33" s="696" t="str">
        <f>VLOOKUP( $B33, T_Aop[], 6, 1)</f>
        <v xml:space="preserve">      c) Prihodi od pruženih usluga na inostranom tržištu</v>
      </c>
      <c r="E33" s="697"/>
      <c r="F33" s="697"/>
      <c r="G33" s="697"/>
      <c r="H33" s="698"/>
      <c r="I33" s="63">
        <f>VLOOKUP( $B33, T_Aop[], 4, 1)</f>
        <v>213</v>
      </c>
      <c r="J33" s="450"/>
      <c r="K33" s="450"/>
      <c r="L33" s="451"/>
      <c r="N33" s="44"/>
      <c r="P33" s="183"/>
    </row>
    <row r="34" spans="2:16" ht="13.5" customHeight="1" x14ac:dyDescent="0.2">
      <c r="B34" s="15">
        <v>152</v>
      </c>
      <c r="C34" s="58" t="str">
        <f>VLOOKUP( $B34, T_Aop[], 5, 1)</f>
        <v>630</v>
      </c>
      <c r="D34" s="693" t="str">
        <f>VLOOKUP( $B34, T_Aop[], 6, 1)</f>
        <v xml:space="preserve">    4. Povećanje vrijednosti zaliha učinaka</v>
      </c>
      <c r="E34" s="694"/>
      <c r="F34" s="694"/>
      <c r="G34" s="694"/>
      <c r="H34" s="695"/>
      <c r="I34" s="59">
        <f>VLOOKUP( $B34, T_Aop[], 4, 1)</f>
        <v>214</v>
      </c>
      <c r="J34" s="452"/>
      <c r="K34" s="452"/>
      <c r="L34" s="453"/>
      <c r="N34" s="44"/>
      <c r="P34" s="183"/>
    </row>
    <row r="35" spans="2:16" ht="13.5" customHeight="1" x14ac:dyDescent="0.2">
      <c r="B35" s="15">
        <v>153</v>
      </c>
      <c r="C35" s="62" t="str">
        <f>VLOOKUP( $B35, T_Aop[], 5, 1)</f>
        <v>631</v>
      </c>
      <c r="D35" s="696" t="str">
        <f>VLOOKUP( $B35, T_Aop[], 6, 1)</f>
        <v xml:space="preserve">    5. Smanjenje vrijednosti zaliha učinaka</v>
      </c>
      <c r="E35" s="697"/>
      <c r="F35" s="697"/>
      <c r="G35" s="697"/>
      <c r="H35" s="698"/>
      <c r="I35" s="63">
        <f>VLOOKUP( $B35, T_Aop[], 4, 1)</f>
        <v>215</v>
      </c>
      <c r="J35" s="450"/>
      <c r="K35" s="450"/>
      <c r="L35" s="451"/>
      <c r="N35" s="44"/>
      <c r="P35" s="183"/>
    </row>
    <row r="36" spans="2:16" ht="22.5" customHeight="1" x14ac:dyDescent="0.2">
      <c r="B36" s="15">
        <v>154</v>
      </c>
      <c r="C36" s="58" t="str">
        <f>VLOOKUP( $B36, T_Aop[], 5, 1)</f>
        <v>640 i 641</v>
      </c>
      <c r="D36" s="693" t="str">
        <f>VLOOKUP( $B36, T_Aop[], 6, 1)</f>
        <v xml:space="preserve">    6. Povećanje vrijednosti investicionih nekretnina i bioloških sredstava koja se ne amortizuju</v>
      </c>
      <c r="E36" s="694"/>
      <c r="F36" s="694"/>
      <c r="G36" s="694"/>
      <c r="H36" s="695"/>
      <c r="I36" s="59">
        <f>VLOOKUP( $B36, T_Aop[], 4, 1)</f>
        <v>216</v>
      </c>
      <c r="J36" s="452"/>
      <c r="K36" s="452"/>
      <c r="L36" s="453"/>
      <c r="N36" s="44"/>
      <c r="P36" s="183"/>
    </row>
    <row r="37" spans="2:16" ht="22.5" customHeight="1" x14ac:dyDescent="0.2">
      <c r="B37" s="15">
        <v>155</v>
      </c>
      <c r="C37" s="62" t="str">
        <f>VLOOKUP( $B37, T_Aop[], 5, 1)</f>
        <v>642 i 643</v>
      </c>
      <c r="D37" s="696" t="str">
        <f>VLOOKUP( $B37, T_Aop[], 6, 1)</f>
        <v xml:space="preserve">    7.  Smanjenje vrijednosti investicionih nekretnina i bioloških sredstava koja se ne amortizuju</v>
      </c>
      <c r="E37" s="697"/>
      <c r="F37" s="697"/>
      <c r="G37" s="697"/>
      <c r="H37" s="698"/>
      <c r="I37" s="63">
        <f>VLOOKUP( $B37, T_Aop[], 4, 1)</f>
        <v>217</v>
      </c>
      <c r="J37" s="450"/>
      <c r="K37" s="450"/>
      <c r="L37" s="451"/>
      <c r="N37" s="44"/>
      <c r="P37" s="183"/>
    </row>
    <row r="38" spans="2:16" ht="11.25" customHeight="1" x14ac:dyDescent="0.2">
      <c r="B38" s="15">
        <v>156</v>
      </c>
      <c r="C38" s="58" t="str">
        <f>VLOOKUP( $B38, T_Aop[], 5, 1)</f>
        <v>650 do 659</v>
      </c>
      <c r="D38" s="693" t="str">
        <f>VLOOKUP( $B38, T_Aop[], 6, 1)</f>
        <v xml:space="preserve">    8. Ostali poslovni prihodi</v>
      </c>
      <c r="E38" s="694"/>
      <c r="F38" s="694"/>
      <c r="G38" s="694"/>
      <c r="H38" s="695"/>
      <c r="I38" s="59">
        <f>VLOOKUP( $B38, T_Aop[], 4, 1)</f>
        <v>218</v>
      </c>
      <c r="J38" s="452"/>
      <c r="K38" s="452">
        <v>3986716</v>
      </c>
      <c r="L38" s="453">
        <v>1946040</v>
      </c>
      <c r="N38" s="44"/>
      <c r="P38" s="183"/>
    </row>
    <row r="39" spans="2:16" ht="12.75" customHeight="1" x14ac:dyDescent="0.2">
      <c r="B39" s="15">
        <v>157</v>
      </c>
      <c r="C39" s="62">
        <f>VLOOKUP( $B39, T_Aop[], 5, 1)</f>
        <v>0</v>
      </c>
      <c r="D39" s="713" t="str">
        <f>VLOOKUP( $B39, T_Aop[], 6, 1)</f>
        <v xml:space="preserve">  II  POSLOVNI RASHODI  (220 + 221 + 222 + 223 + 226 + 227 + 234 + 235 + 236)</v>
      </c>
      <c r="E39" s="714"/>
      <c r="F39" s="714"/>
      <c r="G39" s="714"/>
      <c r="H39" s="715"/>
      <c r="I39" s="179">
        <f>VLOOKUP( $B39, T_Aop[], 4, 1)</f>
        <v>219</v>
      </c>
      <c r="J39" s="450"/>
      <c r="K39" s="67">
        <f>IF(AND([0]!Godina=2024,MID(Osnovni_podaci!D20,3,1)="e",Osnovni_podaci!L24=5,Osnovni_podaci!G24=0,MID(Osnovni_podaci!D20,3,1)="e",MID(Osnovni_podaci!D20,8,1)="d"),SUBTOTAL( 9, K40:K56),A1)</f>
        <v>26603146</v>
      </c>
      <c r="L39" s="68">
        <f>IF(AND([0]!Godina=2024,MID(Osnovni_podaci!D20,3,1)="e",Osnovni_podaci!L24=5,Osnovni_podaci!G24=0,MID(Osnovni_podaci!D20,3,1)="e",MID(Osnovni_podaci!D20,8,1)="d"),SUBTOTAL( 9, L40:L56),A1)</f>
        <v>25386127</v>
      </c>
      <c r="N39" s="44"/>
      <c r="P39" s="183"/>
    </row>
    <row r="40" spans="2:16" ht="14.25" customHeight="1" x14ac:dyDescent="0.2">
      <c r="B40" s="15">
        <v>158</v>
      </c>
      <c r="C40" s="58" t="str">
        <f>VLOOKUP( $B40, T_Aop[], 5, 1)</f>
        <v>500 do 502</v>
      </c>
      <c r="D40" s="693" t="str">
        <f>VLOOKUP( $B40, T_Aop[], 6, 1)</f>
        <v xml:space="preserve">    1. Nabavna vrijednost prodate robe</v>
      </c>
      <c r="E40" s="694"/>
      <c r="F40" s="694"/>
      <c r="G40" s="694"/>
      <c r="H40" s="695"/>
      <c r="I40" s="59">
        <f>VLOOKUP( $B40, T_Aop[], 4, 1)</f>
        <v>220</v>
      </c>
      <c r="J40" s="452"/>
      <c r="K40" s="452">
        <v>6359394</v>
      </c>
      <c r="L40" s="452">
        <v>6699156</v>
      </c>
      <c r="N40" s="44"/>
      <c r="P40" s="183"/>
    </row>
    <row r="41" spans="2:16" ht="14.25" customHeight="1" x14ac:dyDescent="0.2">
      <c r="B41" s="15">
        <v>159</v>
      </c>
      <c r="C41" s="62" t="str">
        <f>VLOOKUP( $B41, T_Aop[], 5, 1)</f>
        <v>510 do 512</v>
      </c>
      <c r="D41" s="696" t="str">
        <f>VLOOKUP( $B41, T_Aop[], 6, 1)</f>
        <v xml:space="preserve">    2. Troškovi materijala</v>
      </c>
      <c r="E41" s="697"/>
      <c r="F41" s="697"/>
      <c r="G41" s="697"/>
      <c r="H41" s="698"/>
      <c r="I41" s="63">
        <f>VLOOKUP( $B41, T_Aop[], 4, 1)</f>
        <v>221</v>
      </c>
      <c r="J41" s="450"/>
      <c r="K41" s="450">
        <v>422234</v>
      </c>
      <c r="L41" s="450">
        <v>482339</v>
      </c>
      <c r="N41" s="44"/>
      <c r="P41" s="183"/>
    </row>
    <row r="42" spans="2:16" ht="14.25" customHeight="1" x14ac:dyDescent="0.2">
      <c r="B42" s="15">
        <v>160</v>
      </c>
      <c r="C42" s="58" t="str">
        <f>VLOOKUP( $B42, T_Aop[], 5, 1)</f>
        <v>513</v>
      </c>
      <c r="D42" s="693" t="str">
        <f>VLOOKUP( $B42, T_Aop[], 6, 1)</f>
        <v xml:space="preserve">    3. Troškovi goriva i energije</v>
      </c>
      <c r="E42" s="694"/>
      <c r="F42" s="694"/>
      <c r="G42" s="694"/>
      <c r="H42" s="695"/>
      <c r="I42" s="59">
        <f>VLOOKUP( $B42, T_Aop[], 4, 1)</f>
        <v>222</v>
      </c>
      <c r="J42" s="452"/>
      <c r="K42" s="452">
        <v>447922</v>
      </c>
      <c r="L42" s="452">
        <v>464661</v>
      </c>
      <c r="N42" s="44"/>
      <c r="P42" s="183"/>
    </row>
    <row r="43" spans="2:16" ht="22.5" customHeight="1" x14ac:dyDescent="0.2">
      <c r="B43" s="15">
        <v>161</v>
      </c>
      <c r="C43" s="62" t="str">
        <f>VLOOKUP( $B43, T_Aop[], 5, 1)</f>
        <v>52</v>
      </c>
      <c r="D43" s="696" t="str">
        <f>VLOOKUP( $B43, T_Aop[], 6, 1)</f>
        <v xml:space="preserve">    4. Troškovi plata, naknada plata i ostalih ličnih primanja (224 + 225)</v>
      </c>
      <c r="E43" s="697"/>
      <c r="F43" s="697"/>
      <c r="G43" s="697"/>
      <c r="H43" s="698"/>
      <c r="I43" s="63">
        <f>VLOOKUP( $B43, T_Aop[], 4, 1)</f>
        <v>223</v>
      </c>
      <c r="J43" s="450"/>
      <c r="K43" s="456">
        <f>IF(AND([0]!Godina=2024,MID(Osnovni_podaci!D20,3,1)="e",Osnovni_podaci!L24=5,Osnovni_podaci!G24=0,MID(Osnovni_podaci!D20,3,1)="e",MID(Osnovni_podaci!D20,8,1)="d"),SUBTOTAL( 9, K44:K45),A1)</f>
        <v>10632922</v>
      </c>
      <c r="L43" s="457">
        <f>IF(AND([0]!Godina=2024,MID(Osnovni_podaci!D20,3,1)="e",Osnovni_podaci!L24=5,Osnovni_podaci!G24=0,MID(Osnovni_podaci!D20,3,1)="e",MID(Osnovni_podaci!D20,8,1)="d"),SUBTOTAL( 9, L44:L45),A1)</f>
        <v>9840007</v>
      </c>
      <c r="N43" s="44"/>
      <c r="P43" s="183"/>
    </row>
    <row r="44" spans="2:16" ht="14.25" customHeight="1" x14ac:dyDescent="0.2">
      <c r="B44" s="15">
        <v>162</v>
      </c>
      <c r="C44" s="58" t="str">
        <f>VLOOKUP( $B44, T_Aop[], 5, 1)</f>
        <v>520 i 523</v>
      </c>
      <c r="D44" s="693" t="str">
        <f>VLOOKUP( $B44, T_Aop[], 6, 1)</f>
        <v xml:space="preserve">      a) Troškovi bruto plata i bruto naknada plata</v>
      </c>
      <c r="E44" s="694"/>
      <c r="F44" s="694"/>
      <c r="G44" s="694"/>
      <c r="H44" s="695"/>
      <c r="I44" s="59">
        <f>VLOOKUP( $B44, T_Aop[], 4, 1)</f>
        <v>224</v>
      </c>
      <c r="J44" s="452"/>
      <c r="K44" s="452">
        <v>8430567</v>
      </c>
      <c r="L44" s="452">
        <v>7773867</v>
      </c>
      <c r="N44" s="44"/>
      <c r="P44" s="183"/>
    </row>
    <row r="45" spans="2:16" ht="14.25" customHeight="1" x14ac:dyDescent="0.2">
      <c r="B45" s="15">
        <v>163</v>
      </c>
      <c r="C45" s="62" t="str">
        <f>VLOOKUP( $B45, T_Aop[], 5, 1)</f>
        <v>524 do 529</v>
      </c>
      <c r="D45" s="696" t="str">
        <f>VLOOKUP( $B45, T_Aop[], 6, 1)</f>
        <v xml:space="preserve">      b) Troškovi ostalih ličnih primanja</v>
      </c>
      <c r="E45" s="697"/>
      <c r="F45" s="697"/>
      <c r="G45" s="697"/>
      <c r="H45" s="698"/>
      <c r="I45" s="63">
        <f>VLOOKUP( $B45, T_Aop[], 4, 1)</f>
        <v>225</v>
      </c>
      <c r="J45" s="450"/>
      <c r="K45" s="450">
        <v>2202355</v>
      </c>
      <c r="L45" s="450">
        <v>2066140</v>
      </c>
      <c r="N45" s="44"/>
      <c r="P45" s="183"/>
    </row>
    <row r="46" spans="2:16" ht="14.25" customHeight="1" x14ac:dyDescent="0.2">
      <c r="B46" s="15">
        <v>164</v>
      </c>
      <c r="C46" s="58" t="str">
        <f>VLOOKUP( $B46, T_Aop[], 5, 1)</f>
        <v>530 do 539</v>
      </c>
      <c r="D46" s="693" t="str">
        <f>VLOOKUP( $B46, T_Aop[], 6, 1)</f>
        <v xml:space="preserve">    5. Troškovi proizvodnih usluga</v>
      </c>
      <c r="E46" s="694"/>
      <c r="F46" s="694"/>
      <c r="G46" s="694"/>
      <c r="H46" s="695"/>
      <c r="I46" s="59">
        <f>VLOOKUP( $B46, T_Aop[], 4, 1)</f>
        <v>226</v>
      </c>
      <c r="J46" s="452"/>
      <c r="K46" s="452">
        <v>1091174</v>
      </c>
      <c r="L46" s="452">
        <v>458557</v>
      </c>
      <c r="N46" s="44"/>
      <c r="P46" s="183"/>
    </row>
    <row r="47" spans="2:16" ht="14.25" customHeight="1" x14ac:dyDescent="0.2">
      <c r="B47" s="15">
        <v>165</v>
      </c>
      <c r="C47" s="62" t="str">
        <f>VLOOKUP( $B47, T_Aop[], 5, 1)</f>
        <v>54</v>
      </c>
      <c r="D47" s="696" t="str">
        <f>VLOOKUP( $B47, T_Aop[], 6, 1)</f>
        <v xml:space="preserve">    6. Troškovi amortizacije i rezervisanja (228 + 233)</v>
      </c>
      <c r="E47" s="697"/>
      <c r="F47" s="697"/>
      <c r="G47" s="697"/>
      <c r="H47" s="698"/>
      <c r="I47" s="63">
        <f>VLOOKUP( $B47, T_Aop[], 4, 1)</f>
        <v>227</v>
      </c>
      <c r="J47" s="450"/>
      <c r="K47" s="456">
        <f>IF(AND([0]!Godina=2024,MID(Osnovni_podaci!D20,3,1)="e",Osnovni_podaci!L24=5,Osnovni_podaci!G24=0,MID(Osnovni_podaci!D20,3,1)="e",MID(Osnovni_podaci!D20,8,1)="d"),SUBTOTAL( 9, K48:K53),A1)</f>
        <v>4632604</v>
      </c>
      <c r="L47" s="457">
        <f>IF(AND([0]!Godina=2024,MID(Osnovni_podaci!D20,3,1)="e",Osnovni_podaci!L24=5,Osnovni_podaci!G24=0,MID(Osnovni_podaci!D20,3,1)="e",MID(Osnovni_podaci!D20,8,1)="d"),SUBTOTAL( 9, L48:L53),A1)</f>
        <v>4413417</v>
      </c>
      <c r="N47" s="44"/>
      <c r="P47" s="183"/>
    </row>
    <row r="48" spans="2:16" ht="14.25" customHeight="1" x14ac:dyDescent="0.2">
      <c r="B48" s="15">
        <v>166</v>
      </c>
      <c r="C48" s="58" t="str">
        <f>VLOOKUP( $B48, T_Aop[], 5, 1)</f>
        <v>540</v>
      </c>
      <c r="D48" s="693" t="str">
        <f>VLOOKUP( $B48, T_Aop[], 6, 1)</f>
        <v xml:space="preserve">      6.1 Troškovi amortizacije (229 do 232)</v>
      </c>
      <c r="E48" s="694"/>
      <c r="F48" s="694"/>
      <c r="G48" s="694"/>
      <c r="H48" s="695"/>
      <c r="I48" s="59">
        <f>VLOOKUP( $B48, T_Aop[], 4, 1)</f>
        <v>228</v>
      </c>
      <c r="J48" s="452"/>
      <c r="K48" s="454">
        <f>IF(AND([0]!Godina=2024,MID(Osnovni_podaci!D20,3,1)="e",Osnovni_podaci!L24=5,Osnovni_podaci!G24=0,MID(Osnovni_podaci!D20,3,1)="e",MID(Osnovni_podaci!D20,8,1)="d"),SUBTOTAL( 9, K49:K52),A1)</f>
        <v>4632604</v>
      </c>
      <c r="L48" s="455">
        <f>IF(AND([0]!Godina=2024,MID(Osnovni_podaci!D20,3,1)="e",Osnovni_podaci!L24=5,Osnovni_podaci!G24=0,MID(Osnovni_podaci!D20,3,1)="e",MID(Osnovni_podaci!D20,8,1)="d"),SUBTOTAL( 9, L49:L52),A1)</f>
        <v>4413417</v>
      </c>
      <c r="N48" s="44"/>
      <c r="P48" s="183"/>
    </row>
    <row r="49" spans="2:16" ht="14.25" customHeight="1" x14ac:dyDescent="0.2">
      <c r="B49" s="15">
        <v>167</v>
      </c>
      <c r="C49" s="62" t="str">
        <f>VLOOKUP( $B49, T_Aop[], 5, 1)</f>
        <v>dio 540</v>
      </c>
      <c r="D49" s="696" t="str">
        <f>VLOOKUP( $B49, T_Aop[], 6, 1)</f>
        <v xml:space="preserve">        a) Amortizacija nekretnina, postrojenja i opreme</v>
      </c>
      <c r="E49" s="697"/>
      <c r="F49" s="697"/>
      <c r="G49" s="697"/>
      <c r="H49" s="698"/>
      <c r="I49" s="63">
        <f>VLOOKUP( $B49, T_Aop[], 4, 1)</f>
        <v>229</v>
      </c>
      <c r="J49" s="450"/>
      <c r="K49" s="450">
        <v>4614872</v>
      </c>
      <c r="L49" s="450">
        <v>4412531</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3" t="str">
        <f>VLOOKUP( $B50, T_Aop[], 6, 1)</f>
        <v xml:space="preserve">        b) Amortizacija investicionih nekretnina</v>
      </c>
      <c r="E50" s="694"/>
      <c r="F50" s="694"/>
      <c r="G50" s="694"/>
      <c r="H50" s="695"/>
      <c r="I50" s="59">
        <f>VLOOKUP( $B50, T_Aop[], 4, 1)</f>
        <v>230</v>
      </c>
      <c r="J50" s="452"/>
      <c r="K50" s="452">
        <v>2655</v>
      </c>
      <c r="L50" s="453">
        <v>886</v>
      </c>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696" t="str">
        <f>VLOOKUP( $B51, T_Aop[], 6, 1)</f>
        <v xml:space="preserve">        c) Amortizacija sredstava uzetih u zakup</v>
      </c>
      <c r="E51" s="697"/>
      <c r="F51" s="697"/>
      <c r="G51" s="697"/>
      <c r="H51" s="698"/>
      <c r="I51" s="63">
        <f>VLOOKUP( $B51, T_Aop[], 4, 1)</f>
        <v>231</v>
      </c>
      <c r="J51" s="450"/>
      <c r="K51" s="450">
        <v>15077</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3" t="str">
        <f>VLOOKUP( $B52, T_Aop[], 6, 1)</f>
        <v xml:space="preserve">        d) Amortizacija ostalih sredstava</v>
      </c>
      <c r="E52" s="694"/>
      <c r="F52" s="694"/>
      <c r="G52" s="694"/>
      <c r="H52" s="695"/>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696" t="str">
        <f>VLOOKUP( $B53, T_Aop[], 6, 1)</f>
        <v xml:space="preserve">      6.2 Troškovi rezervisanja</v>
      </c>
      <c r="E53" s="697"/>
      <c r="F53" s="697"/>
      <c r="G53" s="697"/>
      <c r="H53" s="698"/>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3" t="str">
        <f>VLOOKUP( $B54, T_Aop[], 6, 1)</f>
        <v xml:space="preserve">    7. Nematerijalni troškovi (bez poreza i doprinosa)</v>
      </c>
      <c r="E54" s="694"/>
      <c r="F54" s="694"/>
      <c r="G54" s="694"/>
      <c r="H54" s="695"/>
      <c r="I54" s="59">
        <f>VLOOKUP( $B54, T_Aop[], 4, 1)</f>
        <v>234</v>
      </c>
      <c r="J54" s="452"/>
      <c r="K54" s="452">
        <v>2803445</v>
      </c>
      <c r="L54" s="452">
        <v>2806292</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696" t="str">
        <f>VLOOKUP( $B55, T_Aop[], 6, 1)</f>
        <v xml:space="preserve">    8. Troškovi poreza</v>
      </c>
      <c r="E55" s="697"/>
      <c r="F55" s="697"/>
      <c r="G55" s="697"/>
      <c r="H55" s="698"/>
      <c r="I55" s="63">
        <f>VLOOKUP( $B55, T_Aop[], 4, 1)</f>
        <v>235</v>
      </c>
      <c r="J55" s="450"/>
      <c r="K55" s="450">
        <v>83929</v>
      </c>
      <c r="L55" s="450">
        <v>67773</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3" t="str">
        <f>VLOOKUP( $B56, T_Aop[], 6, 1)</f>
        <v xml:space="preserve">    9. Troškovi doprinosa</v>
      </c>
      <c r="E56" s="694"/>
      <c r="F56" s="694"/>
      <c r="G56" s="694"/>
      <c r="H56" s="695"/>
      <c r="I56" s="59">
        <f>VLOOKUP( $B56, T_Aop[], 4, 1)</f>
        <v>236</v>
      </c>
      <c r="J56" s="452"/>
      <c r="K56" s="452">
        <v>129522</v>
      </c>
      <c r="L56" s="452">
        <v>153925</v>
      </c>
      <c r="N56" s="44"/>
      <c r="P56" s="183"/>
    </row>
    <row r="57" spans="2:16" ht="12.75" customHeight="1" x14ac:dyDescent="0.2">
      <c r="B57" s="15">
        <v>175</v>
      </c>
      <c r="C57" s="62">
        <f>IF(AND([0]!Godina=2024,MID(Osnovni_podaci!D20,3,1)="e",Osnovni_podaci!L24=5,Osnovni_podaci!G24=0,MID(Osnovni_podaci!D20,3,1)="e",MID(Osnovni_podaci!D20,8,1)="d"),VLOOKUP( $B57, T_Aop[], 5, 1),A1)</f>
        <v>0</v>
      </c>
      <c r="D57" s="713" t="str">
        <f>VLOOKUP( $B57, T_Aop[], 6, 1)</f>
        <v xml:space="preserve">  B.  POSLOVNI DOBITAK (201 – 219)</v>
      </c>
      <c r="E57" s="714"/>
      <c r="F57" s="714"/>
      <c r="G57" s="714"/>
      <c r="H57" s="715"/>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2374466</v>
      </c>
      <c r="L57" s="68">
        <f>IF(AND([0]!Godina=2024,MID(Osnovni_podaci!D20,3,1)="e",Osnovni_podaci!L24=5,Osnovni_podaci!G24=0,MID(Osnovni_podaci!D20,3,1)="e",MID(Osnovni_podaci!D20,8,1)="d"),IF( SUBTOTAL( 9, L21:L34,L36,L38) - SUBTOTAL( 9, L35, L37, L39:L56)  &lt;= 0, 0, ABS( SUBTOTAL( 9, L21:L34,L36,L38) - SUBTOTAL( 9, L35, L37, L39:L56))),A1)</f>
        <v>810829</v>
      </c>
      <c r="N57" s="44"/>
      <c r="P57" s="183"/>
    </row>
    <row r="58" spans="2:16" ht="12.75" customHeight="1" x14ac:dyDescent="0.2">
      <c r="B58" s="15">
        <v>176</v>
      </c>
      <c r="C58" s="58">
        <f>IF(AND([0]!Godina=2024,MID(Osnovni_podaci!D20,3,1)="e",Osnovni_podaci!L24=5,Osnovni_podaci!G24=0,MID(Osnovni_podaci!D20,3,1)="e",MID(Osnovni_podaci!D20,8,1)="d"),VLOOKUP( $B58, T_Aop[], 5, 1),A1)</f>
        <v>0</v>
      </c>
      <c r="D58" s="716" t="str">
        <f>VLOOKUP( $B58, T_Aop[], 6, 1)</f>
        <v xml:space="preserve">  V.  POSLOVNI GUBITAK (219 – 201)</v>
      </c>
      <c r="E58" s="717"/>
      <c r="F58" s="717"/>
      <c r="G58" s="717"/>
      <c r="H58" s="718"/>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13" t="str">
        <f>VLOOKUP( $B59, T_Aop[], 6, 1)</f>
        <v xml:space="preserve">  G. FINANSIJSKI PRIHODI I RASHODI _x000D_
I  FINANSIJSKI PRIHODI (240 do 243)</v>
      </c>
      <c r="E59" s="714"/>
      <c r="F59" s="714"/>
      <c r="G59" s="714"/>
      <c r="H59" s="715"/>
      <c r="I59" s="179">
        <f>VLOOKUP( $B59, T_Aop[], 4, 1)</f>
        <v>239</v>
      </c>
      <c r="J59" s="450"/>
      <c r="K59" s="67">
        <f>IF(AND([0]!Godina=2024,MID(Osnovni_podaci!D20,3,1)="e",Osnovni_podaci!L24=5,Osnovni_podaci!G24=0,MID(Osnovni_podaci!D20,3,1)="e",MID(Osnovni_podaci!D20,8,1)="d"),SUBTOTAL( 9, K60:K63),A1)</f>
        <v>18658</v>
      </c>
      <c r="L59" s="68">
        <f>IF(AND([0]!Godina=2024,MID(Osnovni_podaci!D20,3,1)="e",Osnovni_podaci!L24=5,Osnovni_podaci!G24=0,MID(Osnovni_podaci!D20,3,1)="e",MID(Osnovni_podaci!D20,8,1)="d"),SUBTOTAL( 9, L60:L63),A1)</f>
        <v>23685</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3" t="str">
        <f>VLOOKUP( $B60, T_Aop[], 6, 1)</f>
        <v xml:space="preserve">    1.   Prihodi od kamata</v>
      </c>
      <c r="E60" s="694"/>
      <c r="F60" s="694"/>
      <c r="G60" s="694"/>
      <c r="H60" s="695"/>
      <c r="I60" s="59">
        <f>VLOOKUP( $B60, T_Aop[], 4, 1)</f>
        <v>240</v>
      </c>
      <c r="J60" s="452"/>
      <c r="K60" s="452">
        <v>18655</v>
      </c>
      <c r="L60" s="452">
        <v>23679</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696" t="str">
        <f>VLOOKUP( $B61, T_Aop[], 6, 1)</f>
        <v xml:space="preserve">    2.   Pozitivne kursne razlike</v>
      </c>
      <c r="E61" s="697"/>
      <c r="F61" s="697"/>
      <c r="G61" s="697"/>
      <c r="H61" s="698"/>
      <c r="I61" s="63">
        <f>VLOOKUP( $B61, T_Aop[], 4, 1)</f>
        <v>241</v>
      </c>
      <c r="J61" s="450"/>
      <c r="K61" s="450"/>
      <c r="L61" s="450"/>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3" t="str">
        <f>VLOOKUP( $B62, T_Aop[], 6, 1)</f>
        <v xml:space="preserve">    3.   Prihodi od efekata valutne klauzule</v>
      </c>
      <c r="E62" s="694"/>
      <c r="F62" s="694"/>
      <c r="G62" s="694"/>
      <c r="H62" s="695"/>
      <c r="I62" s="59">
        <f>VLOOKUP( $B62, T_Aop[], 4, 1)</f>
        <v>242</v>
      </c>
      <c r="J62" s="452"/>
      <c r="K62" s="452"/>
      <c r="L62" s="452"/>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696" t="str">
        <f>VLOOKUP( $B63, T_Aop[], 6, 1)</f>
        <v xml:space="preserve">    4.   Ostali finansijski prihodi</v>
      </c>
      <c r="E63" s="697"/>
      <c r="F63" s="697"/>
      <c r="G63" s="697"/>
      <c r="H63" s="698"/>
      <c r="I63" s="63">
        <f>VLOOKUP( $B63, T_Aop[], 4, 1)</f>
        <v>243</v>
      </c>
      <c r="J63" s="450"/>
      <c r="K63" s="450">
        <v>3</v>
      </c>
      <c r="L63" s="450">
        <v>6</v>
      </c>
      <c r="N63" s="44"/>
      <c r="P63" s="183"/>
    </row>
    <row r="64" spans="2:16" ht="15" customHeight="1" x14ac:dyDescent="0.2">
      <c r="B64" s="15">
        <v>182</v>
      </c>
      <c r="C64" s="58" t="str">
        <f>IF(AND([0]!Godina=2024,MID(Osnovni_podaci!D20,3,1)="e",Osnovni_podaci!L24=5,Osnovni_podaci!G24=0,MID(Osnovni_podaci!D20,3,1)="e",MID(Osnovni_podaci!D20,8,1)="d"),VLOOKUP( $B64, T_Aop[], 5, 1),A1)</f>
        <v>56</v>
      </c>
      <c r="D64" s="716" t="str">
        <f>VLOOKUP( $B64, T_Aop[], 6, 1)</f>
        <v xml:space="preserve">  II  FINANSIJSKI RASHODI (245 do 248)</v>
      </c>
      <c r="E64" s="717"/>
      <c r="F64" s="717"/>
      <c r="G64" s="717"/>
      <c r="H64" s="718"/>
      <c r="I64" s="178">
        <f>VLOOKUP( $B64, T_Aop[], 4, 1)</f>
        <v>244</v>
      </c>
      <c r="J64" s="452"/>
      <c r="K64" s="60">
        <f>IF(AND([0]!Godina=2024,MID(Osnovni_podaci!D20,3,1)="e",Osnovni_podaci!L24=5,Osnovni_podaci!G24=0,MID(Osnovni_podaci!D20,3,1)="e",MID(Osnovni_podaci!D20,8,1)="d"),SUBTOTAL( 9, K65:K68),A1)</f>
        <v>209942</v>
      </c>
      <c r="L64" s="61">
        <f>IF(AND([0]!Godina=2024,MID(Osnovni_podaci!D20,3,1)="e",Osnovni_podaci!L24=5,Osnovni_podaci!G24=0,MID(Osnovni_podaci!D20,3,1)="e",MID(Osnovni_podaci!D20,8,1)="d"),SUBTOTAL( 9, L65:L68),A1)</f>
        <v>190990</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696" t="str">
        <f>VLOOKUP( $B65, T_Aop[], 6, 1)</f>
        <v xml:space="preserve">    1. Rashodi kamata</v>
      </c>
      <c r="E65" s="697"/>
      <c r="F65" s="697"/>
      <c r="G65" s="697"/>
      <c r="H65" s="698"/>
      <c r="I65" s="63">
        <f>VLOOKUP( $B65, T_Aop[], 4, 1)</f>
        <v>245</v>
      </c>
      <c r="J65" s="450"/>
      <c r="K65" s="450">
        <v>209939</v>
      </c>
      <c r="L65" s="450">
        <v>190986</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3" t="str">
        <f>VLOOKUP( $B66, T_Aop[], 6, 1)</f>
        <v xml:space="preserve">    2. Negativne kursne razlike</v>
      </c>
      <c r="E66" s="694"/>
      <c r="F66" s="694"/>
      <c r="G66" s="694"/>
      <c r="H66" s="695"/>
      <c r="I66" s="59">
        <f>VLOOKUP( $B66, T_Aop[], 4, 1)</f>
        <v>246</v>
      </c>
      <c r="J66" s="452"/>
      <c r="K66" s="452"/>
      <c r="L66" s="452"/>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696" t="str">
        <f>VLOOKUP( $B67, T_Aop[], 6, 1)</f>
        <v xml:space="preserve">    3. Rashodi po osnovu valutne klauzule</v>
      </c>
      <c r="E67" s="697"/>
      <c r="F67" s="697"/>
      <c r="G67" s="697"/>
      <c r="H67" s="698"/>
      <c r="I67" s="63">
        <f>VLOOKUP( $B67, T_Aop[], 4, 1)</f>
        <v>247</v>
      </c>
      <c r="J67" s="450"/>
      <c r="K67" s="450"/>
      <c r="L67" s="450"/>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3" t="str">
        <f>VLOOKUP( $B68, T_Aop[], 6, 1)</f>
        <v xml:space="preserve">    4. Ostali finansijski rashodi</v>
      </c>
      <c r="E68" s="694"/>
      <c r="F68" s="694"/>
      <c r="G68" s="694"/>
      <c r="H68" s="695"/>
      <c r="I68" s="59">
        <f>VLOOKUP( $B68, T_Aop[], 4, 1)</f>
        <v>248</v>
      </c>
      <c r="J68" s="452"/>
      <c r="K68" s="452">
        <v>3</v>
      </c>
      <c r="L68" s="452">
        <v>4</v>
      </c>
      <c r="N68" s="44"/>
      <c r="P68" s="183"/>
    </row>
    <row r="69" spans="2:16" ht="21" customHeight="1" x14ac:dyDescent="0.2">
      <c r="B69" s="15">
        <v>187</v>
      </c>
      <c r="C69" s="188">
        <f>IF(AND([0]!Godina=2024,MID(Osnovni_podaci!D20,3,1)="e",Osnovni_podaci!L24=5,Osnovni_podaci!G24=0,MID(Osnovni_podaci!D20,3,1)="e",MID(Osnovni_podaci!D20,8,1)="d"),VLOOKUP( $B69, T_Aop[], 5, 1),A1)</f>
        <v>0</v>
      </c>
      <c r="D69" s="713" t="str">
        <f>VLOOKUP( $B69, T_Aop[], 6, 1)</f>
        <v xml:space="preserve">  D. DOBITAK REDOVNE AKTIVNOSTI  (237 + 239 – 244) ili (239-244-238)     </v>
      </c>
      <c r="E69" s="714"/>
      <c r="F69" s="714"/>
      <c r="G69" s="714"/>
      <c r="H69" s="715"/>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2183182</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643524</v>
      </c>
      <c r="N69" s="44"/>
      <c r="P69" s="183"/>
    </row>
    <row r="70" spans="2:16" ht="21" customHeight="1" x14ac:dyDescent="0.2">
      <c r="B70" s="15">
        <v>188</v>
      </c>
      <c r="C70" s="58">
        <f>IF(AND([0]!Godina=2024,MID(Osnovni_podaci!D20,3,1)="e",Osnovni_podaci!L24=5,Osnovni_podaci!G24=0,MID(Osnovni_podaci!D20,3,1)="e",MID(Osnovni_podaci!D20,8,1)="d"),VLOOKUP( $B70, T_Aop[], 5, 1),A1)</f>
        <v>0</v>
      </c>
      <c r="D70" s="716" t="str">
        <f>VLOOKUP( $B70, T_Aop[], 6, 1)</f>
        <v xml:space="preserve">  Đ. GUBITAK REDOVNE AKTIVNOSTI (238 + 244 -239) ili (244-239-237)</v>
      </c>
      <c r="E70" s="717"/>
      <c r="F70" s="717"/>
      <c r="G70" s="717"/>
      <c r="H70" s="718"/>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13" t="str">
        <f>VLOOKUP( $B71, T_Aop[], 6, 1)</f>
        <v xml:space="preserve">  E. OSTALI DOBICI I GUBICI 
I OSTALI PRIHODI I DOBICI (252 do 260)</v>
      </c>
      <c r="E71" s="714"/>
      <c r="F71" s="714"/>
      <c r="G71" s="714"/>
      <c r="H71" s="715"/>
      <c r="I71" s="179">
        <f>VLOOKUP( $B71, T_Aop[], 4, 1)</f>
        <v>251</v>
      </c>
      <c r="J71" s="450"/>
      <c r="K71" s="64">
        <f>IF(AND([0]!Godina=2024,MID(Osnovni_podaci!D20,3,1)="e",Osnovni_podaci!L24=5,Osnovni_podaci!G24=0,MID(Osnovni_podaci!D20,3,1)="e",MID(Osnovni_podaci!D20,8,1)="d"),SUBTOTAL( 9, K72:K80),A1)</f>
        <v>445169</v>
      </c>
      <c r="L71" s="65">
        <f>IF(AND([0]!Godina=2024,MID(Osnovni_podaci!D20,3,1)="e",Osnovni_podaci!L24=5,Osnovni_podaci!G24=0,MID(Osnovni_podaci!D20,3,1)="e",MID(Osnovni_podaci!D20,8,1)="d"),SUBTOTAL( 9, L72:L80),A1)</f>
        <v>142616</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3" t="str">
        <f>VLOOKUP( $B72, T_Aop[], 6, 1)</f>
        <v xml:space="preserve">    1. Neto dobici po osnovu prodaje nematerijalnih sredstava, nekretnina, postrojenja i opreme</v>
      </c>
      <c r="E72" s="694"/>
      <c r="F72" s="694"/>
      <c r="G72" s="694"/>
      <c r="H72" s="695"/>
      <c r="I72" s="59">
        <f>VLOOKUP( $B72, T_Aop[], 4, 1)</f>
        <v>252</v>
      </c>
      <c r="J72" s="452"/>
      <c r="K72" s="452"/>
      <c r="L72" s="452">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696" t="str">
        <f>VLOOKUP( $B73, T_Aop[], 6, 1)</f>
        <v xml:space="preserve">    2. Neto dobici po osnovu prodaje investicionih nekretnina</v>
      </c>
      <c r="E73" s="697"/>
      <c r="F73" s="697"/>
      <c r="G73" s="697"/>
      <c r="H73" s="698"/>
      <c r="I73" s="63">
        <f>VLOOKUP( $B73, T_Aop[], 4, 1)</f>
        <v>253</v>
      </c>
      <c r="J73" s="450"/>
      <c r="K73" s="450"/>
      <c r="L73" s="450"/>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3" t="str">
        <f>VLOOKUP( $B74, T_Aop[], 6, 1)</f>
        <v xml:space="preserve">    3. Neto dobici po osnovu prodaje bioloških sredstava</v>
      </c>
      <c r="E74" s="694"/>
      <c r="F74" s="694"/>
      <c r="G74" s="694"/>
      <c r="H74" s="695"/>
      <c r="I74" s="59">
        <f>VLOOKUP( $B74, T_Aop[], 4, 1)</f>
        <v>254</v>
      </c>
      <c r="J74" s="452"/>
      <c r="K74" s="452"/>
      <c r="L74" s="452"/>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696" t="str">
        <f>VLOOKUP( $B75, T_Aop[], 6, 1)</f>
        <v xml:space="preserve">    4. Neto dobici po osnovu prodaje stalnih sredstava namijenjenih prodaji i sredstava poslovanja koje se obustavlja</v>
      </c>
      <c r="E75" s="697"/>
      <c r="F75" s="697"/>
      <c r="G75" s="697"/>
      <c r="H75" s="698"/>
      <c r="I75" s="63">
        <f>VLOOKUP( $B75, T_Aop[], 4, 1)</f>
        <v>255</v>
      </c>
      <c r="J75" s="450"/>
      <c r="K75" s="450"/>
      <c r="L75" s="450"/>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3" t="str">
        <f>VLOOKUP( $B76, T_Aop[], 6, 1)</f>
        <v xml:space="preserve">    5. Neto dobici po osnovu prodaje finansijskih sredstava i ulaganja u povezana lica</v>
      </c>
      <c r="E76" s="694"/>
      <c r="F76" s="694"/>
      <c r="G76" s="694"/>
      <c r="H76" s="695"/>
      <c r="I76" s="59">
        <f>VLOOKUP( $B76, T_Aop[], 4, 1)</f>
        <v>256</v>
      </c>
      <c r="J76" s="452"/>
      <c r="K76" s="452"/>
      <c r="L76" s="452"/>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696" t="str">
        <f>VLOOKUP( $B77, T_Aop[], 6, 1)</f>
        <v xml:space="preserve">    6. Neto dobici po osnovu prodaje materijala</v>
      </c>
      <c r="E77" s="697"/>
      <c r="F77" s="697"/>
      <c r="G77" s="697"/>
      <c r="H77" s="698"/>
      <c r="I77" s="63">
        <f>VLOOKUP( $B77, T_Aop[], 4, 1)</f>
        <v>257</v>
      </c>
      <c r="J77" s="450"/>
      <c r="K77" s="450"/>
      <c r="L77" s="450"/>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3" t="str">
        <f>VLOOKUP( $B78, T_Aop[], 6, 1)</f>
        <v xml:space="preserve">    7. Viškovi</v>
      </c>
      <c r="E78" s="694"/>
      <c r="F78" s="694"/>
      <c r="G78" s="694"/>
      <c r="H78" s="695"/>
      <c r="I78" s="59">
        <f>VLOOKUP( $B78, T_Aop[], 4, 1)</f>
        <v>258</v>
      </c>
      <c r="J78" s="452"/>
      <c r="K78" s="452">
        <v>105</v>
      </c>
      <c r="L78" s="452">
        <v>275</v>
      </c>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696" t="str">
        <f>VLOOKUP( $B79, T_Aop[], 6, 1)</f>
        <v xml:space="preserve">    8. Ostali prihodi i dobici </v>
      </c>
      <c r="E79" s="697"/>
      <c r="F79" s="697"/>
      <c r="G79" s="697"/>
      <c r="H79" s="698"/>
      <c r="I79" s="63">
        <f>VLOOKUP( $B79, T_Aop[], 4, 1)</f>
        <v>259</v>
      </c>
      <c r="J79" s="450"/>
      <c r="K79" s="450">
        <v>445064</v>
      </c>
      <c r="L79" s="450">
        <v>137241</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3" t="str">
        <f>VLOOKUP( $B80, T_Aop[], 6, 1)</f>
        <v xml:space="preserve">    9.  Neto dobici od derivatnih finansijskih instrumenata </v>
      </c>
      <c r="E80" s="694"/>
      <c r="F80" s="694"/>
      <c r="G80" s="694"/>
      <c r="H80" s="695"/>
      <c r="I80" s="59">
        <f>VLOOKUP( $B80, T_Aop[], 4, 1)</f>
        <v>260</v>
      </c>
      <c r="J80" s="452"/>
      <c r="K80" s="452"/>
      <c r="L80" s="452"/>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13" t="str">
        <f>VLOOKUP( $B81, T_Aop[], 6, 1)</f>
        <v xml:space="preserve">  II  OSTALI RASHODI I GUBICI (262 do 270)</v>
      </c>
      <c r="E81" s="714"/>
      <c r="F81" s="714"/>
      <c r="G81" s="714"/>
      <c r="H81" s="715"/>
      <c r="I81" s="179">
        <f>VLOOKUP( $B81, T_Aop[], 4, 1)</f>
        <v>261</v>
      </c>
      <c r="J81" s="450"/>
      <c r="K81" s="64">
        <f>IF(AND([0]!Godina=2024,MID(Osnovni_podaci!D20,3,1)="e",Osnovni_podaci!L24=5,Osnovni_podaci!G24=0,MID(Osnovni_podaci!D20,3,1)="e",MID(Osnovni_podaci!D20,8,1)="d"),SUBTOTAL( 9, K82:K90),A1)</f>
        <v>146807</v>
      </c>
      <c r="L81" s="65">
        <f>IF(AND([0]!Godina=2024,MID(Osnovni_podaci!D20,3,1)="e",Osnovni_podaci!L24=5,Osnovni_podaci!G24=0,MID(Osnovni_podaci!D20,3,1)="e",MID(Osnovni_podaci!D20,8,1)="d"),SUBTOTAL( 9, L82:L90),A1)</f>
        <v>36620</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3" t="str">
        <f>VLOOKUP( $B82, T_Aop[], 6, 1)</f>
        <v xml:space="preserve">    1. Neto gubici po osnovu otuđenja nematerijalnih sredstava, nekretnina, postrojenja i opreme</v>
      </c>
      <c r="E82" s="694"/>
      <c r="F82" s="694"/>
      <c r="G82" s="694"/>
      <c r="H82" s="695"/>
      <c r="I82" s="59">
        <f>VLOOKUP( $B82, T_Aop[], 4, 1)</f>
        <v>262</v>
      </c>
      <c r="J82" s="452"/>
      <c r="K82" s="452">
        <v>89126</v>
      </c>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696" t="str">
        <f>VLOOKUP( $B83, T_Aop[], 6, 1)</f>
        <v xml:space="preserve">    2. Neto gubici po osnovu otuđenja investicionih nekretnina</v>
      </c>
      <c r="E83" s="697"/>
      <c r="F83" s="697"/>
      <c r="G83" s="697"/>
      <c r="H83" s="698"/>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3" t="str">
        <f>VLOOKUP( $B84, T_Aop[], 6, 1)</f>
        <v xml:space="preserve">    3. Neto gubici po osnovu otuđenja bioloških sredstava</v>
      </c>
      <c r="E84" s="694"/>
      <c r="F84" s="694"/>
      <c r="G84" s="694"/>
      <c r="H84" s="695"/>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696" t="str">
        <f>VLOOKUP( $B85, T_Aop[], 6, 1)</f>
        <v xml:space="preserve">    4. Neto gubici po osnovu otuđenja stalnih sredstava namijenjenih prodaji i sredstava poslovanja koje se obustavlja</v>
      </c>
      <c r="E85" s="697"/>
      <c r="F85" s="697"/>
      <c r="G85" s="697"/>
      <c r="H85" s="698"/>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3" t="str">
        <f>VLOOKUP( $B86, T_Aop[], 6, 1)</f>
        <v xml:space="preserve">    5. Neto gubici od otuđenja finansijskih sredstava i ulaganja u povezana lica</v>
      </c>
      <c r="E86" s="694"/>
      <c r="F86" s="694"/>
      <c r="G86" s="694"/>
      <c r="H86" s="695"/>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696" t="str">
        <f>VLOOKUP( $B87, T_Aop[], 6, 1)</f>
        <v xml:space="preserve">    6. Neto gubici po osnovu prodaje materijala</v>
      </c>
      <c r="E87" s="697"/>
      <c r="F87" s="697"/>
      <c r="G87" s="697"/>
      <c r="H87" s="698"/>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3" t="str">
        <f>VLOOKUP( $B88, T_Aop[], 6, 1)</f>
        <v xml:space="preserve">    7.  Manjkovi</v>
      </c>
      <c r="E88" s="694"/>
      <c r="F88" s="694"/>
      <c r="G88" s="694"/>
      <c r="H88" s="695"/>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696" t="str">
        <f>IF(AND([0]!Godina=2024,MID(Osnovni_podaci!D20,3,1)="e",Osnovni_podaci!L24=5,Osnovni_podaci!G24=0,MID(Osnovni_podaci!D20,3,1)="e",MID(Osnovni_podaci!D20,8,1)="d"),VLOOKUP( $B89, T_Aop[], 6, 1),A1)</f>
        <v xml:space="preserve">    8. Neto gubici od derivatnih finansijskih instrumenata</v>
      </c>
      <c r="E89" s="697"/>
      <c r="F89" s="697"/>
      <c r="G89" s="697"/>
      <c r="H89" s="698"/>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3" t="str">
        <f>IF(AND([0]!Godina=2024,MID(Osnovni_podaci!D20,3,1)="e",Osnovni_podaci!L24=5,Osnovni_podaci!G24=0,MID(Osnovni_podaci!D20,3,1)="e",MID(Osnovni_podaci!D20,8,1)="d"),VLOOKUP( $B90, T_Aop[], 6, 1),A1)</f>
        <v xml:space="preserve">    9. Ostali rashodi i gubici</v>
      </c>
      <c r="E90" s="694"/>
      <c r="F90" s="694"/>
      <c r="G90" s="694"/>
      <c r="H90" s="695"/>
      <c r="I90" s="59">
        <f>VLOOKUP( $B90, T_Aop[], 4, 1)</f>
        <v>270</v>
      </c>
      <c r="J90" s="452"/>
      <c r="K90" s="452">
        <v>57681</v>
      </c>
      <c r="L90" s="453">
        <v>36620</v>
      </c>
      <c r="N90" s="44"/>
      <c r="P90" s="183"/>
    </row>
    <row r="91" spans="2:16" ht="12.75" customHeight="1" x14ac:dyDescent="0.2">
      <c r="B91" s="15">
        <v>209</v>
      </c>
      <c r="C91" s="188">
        <f>IF(AND([0]!Godina=2024,MID(Osnovni_podaci!D20,3,1)="e",Osnovni_podaci!L24=5,Osnovni_podaci!G24=0,MID(Osnovni_podaci!D20,3,1)="e",MID(Osnovni_podaci!D20,8,1)="d"),VLOOKUP( $B91, T_Aop[], 5, 1),A1)</f>
        <v>0</v>
      </c>
      <c r="D91" s="713" t="str">
        <f>IF(AND([0]!Godina=2024,MID(Osnovni_podaci!D20,3,1)="e",Osnovni_podaci!L24=5,Osnovni_podaci!G24=0,MID(Osnovni_podaci!D20,3,1)="e",MID(Osnovni_podaci!D20,8,1)="d"),VLOOKUP( $B91, T_Aop[], 6, 1),A1)</f>
        <v xml:space="preserve">  Ž. DOBITAK PO OSNOVU OSTALIH PRIHODA I RASHODA (251 – 261)</v>
      </c>
      <c r="E91" s="714"/>
      <c r="F91" s="714"/>
      <c r="G91" s="714"/>
      <c r="H91" s="715"/>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298362</v>
      </c>
      <c r="L91" s="475">
        <f>IF(AND([0]!Godina=2024,MID(Osnovni_podaci!D20,3,1)="e",Osnovni_podaci!L24=5,Osnovni_podaci!G24=0,MID(Osnovni_podaci!D20,3,1)="e",MID(Osnovni_podaci!D20,8,1)="d"),IF( SUBTOTAL( 9, L71:L80) - SUBTOTAL( 9, L81:L90) &lt;= 0, 0, ABS( SUBTOTAL( 9, L71:L80) - SUBTOTAL( 9, L81:L90)) ),A1)</f>
        <v>105996</v>
      </c>
      <c r="N91" s="44"/>
      <c r="P91" s="183"/>
    </row>
    <row r="92" spans="2:16" x14ac:dyDescent="0.2">
      <c r="B92" s="15">
        <v>210</v>
      </c>
      <c r="C92" s="187">
        <f>IF(AND([0]!Godina=2024,MID(Osnovni_podaci!D20,3,1)="e",Osnovni_podaci!L24=5,Osnovni_podaci!G24=0,MID(Osnovni_podaci!D20,3,1)="e",MID(Osnovni_podaci!D20,8,1)="d"),VLOOKUP( $B92, T_Aop[], 5, 1),A1)</f>
        <v>0</v>
      </c>
      <c r="D92" s="716" t="str">
        <f>IF(AND([0]!Godina=2024,MID(Osnovni_podaci!D20,3,1)="e",Osnovni_podaci!L24=5,Osnovni_podaci!G24=0,MID(Osnovni_podaci!D20,3,1)="e",MID(Osnovni_podaci!D20,8,1)="d"),VLOOKUP( $B92, T_Aop[], 6, 1),A1)</f>
        <v xml:space="preserve">  Z. GUBITAK PO OSNOVU OSTALIH PRIHODA I RASHODA (261 – 251)</v>
      </c>
      <c r="E92" s="717"/>
      <c r="F92" s="717"/>
      <c r="G92" s="717"/>
      <c r="H92" s="718"/>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0</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13"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14"/>
      <c r="F93" s="714"/>
      <c r="G93" s="714"/>
      <c r="H93" s="715"/>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18</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3" t="str">
        <f>IF(AND([0]!Godina=2024,MID(Osnovni_podaci!D20,3,1)="e",Osnovni_podaci!L24=5,Osnovni_podaci!G24=0,MID(Osnovni_podaci!D20,3,1)="e",MID(Osnovni_podaci!D20,8,1)="d"),VLOOKUP( $B94, T_Aop[], 6, 1),A1)</f>
        <v xml:space="preserve">    1. Neto dobici od usklađivanja imovine (osim finansijske)  (275 do 280)</v>
      </c>
      <c r="E94" s="694"/>
      <c r="F94" s="694"/>
      <c r="G94" s="694"/>
      <c r="H94" s="695"/>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18</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696"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697"/>
      <c r="F95" s="697"/>
      <c r="G95" s="697"/>
      <c r="H95" s="698"/>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3"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694"/>
      <c r="F96" s="694"/>
      <c r="G96" s="694"/>
      <c r="H96" s="695"/>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696"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697"/>
      <c r="F97" s="697"/>
      <c r="G97" s="697"/>
      <c r="H97" s="698"/>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3"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694"/>
      <c r="F98" s="694"/>
      <c r="G98" s="694"/>
      <c r="H98" s="695"/>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696" t="str">
        <f>IF(AND([0]!Godina=2024,MID(Osnovni_podaci!D20,3,1)="e",Osnovni_podaci!L24=5,Osnovni_podaci!G24=0,MID(Osnovni_podaci!D20,3,1)="e",MID(Osnovni_podaci!D20,8,1)="d"),VLOOKUP( $B99, T_Aop[], 6, 1),A1)</f>
        <v xml:space="preserve">      1.5.  Neto dobici od usklađivanja vrijednosti zaliha materijala i robe </v>
      </c>
      <c r="E99" s="697"/>
      <c r="F99" s="697"/>
      <c r="G99" s="697"/>
      <c r="H99" s="698"/>
      <c r="I99" s="63">
        <f>VLOOKUP( $B99, T_Aop[], 4, 1)</f>
        <v>279</v>
      </c>
      <c r="J99" s="450"/>
      <c r="K99" s="450"/>
      <c r="L99" s="451">
        <v>18</v>
      </c>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3"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694"/>
      <c r="F100" s="694"/>
      <c r="G100" s="694"/>
      <c r="H100" s="695"/>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696" t="str">
        <f>IF(AND([0]!Godina=2024,MID(Osnovni_podaci!D20,3,1)="e",Osnovni_podaci!L24=5,Osnovni_podaci!G24=0,MID(Osnovni_podaci!D20,3,1)="e",MID(Osnovni_podaci!D20,8,1)="d"),VLOOKUP( $B101, T_Aop[], 6, 1),A1)</f>
        <v xml:space="preserve">    2. Neto dobici od usklađivanja vrijednosti finansijskih sredstava (282 do 285)</v>
      </c>
      <c r="E101" s="697"/>
      <c r="F101" s="697"/>
      <c r="G101" s="697"/>
      <c r="H101" s="698"/>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3" t="str">
        <f>IF(AND([0]!Godina=2024,MID(Osnovni_podaci!D20,3,1)="e",Osnovni_podaci!L24=5,Osnovni_podaci!G24=0,MID(Osnovni_podaci!D20,3,1)="e",MID(Osnovni_podaci!D20,8,1)="d"),VLOOKUP( $B102, T_Aop[], 6, 1),A1)</f>
        <v xml:space="preserve">      2.1  Neto dobici od usklađivanja vrijednosti dugoročnih finansijskih sredstava </v>
      </c>
      <c r="E102" s="694"/>
      <c r="F102" s="694"/>
      <c r="G102" s="694"/>
      <c r="H102" s="695"/>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696"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697"/>
      <c r="F103" s="697"/>
      <c r="G103" s="697"/>
      <c r="H103" s="698"/>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3"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694"/>
      <c r="F104" s="694"/>
      <c r="G104" s="694"/>
      <c r="H104" s="695"/>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696" t="str">
        <f>IF(AND([0]!Godina=2024,MID(Osnovni_podaci!D20,3,1)="e",Osnovni_podaci!L24=5,Osnovni_podaci!G24=0,MID(Osnovni_podaci!D20,3,1)="e",MID(Osnovni_podaci!D20,8,1)="d"),VLOOKUP( $B105, T_Aop[], 6, 1),A1)</f>
        <v xml:space="preserve">      2.4  Neto dobici od usklađivanja vrijednosti ostalih finansijskih sredstava</v>
      </c>
      <c r="E105" s="697"/>
      <c r="F105" s="697"/>
      <c r="G105" s="697"/>
      <c r="H105" s="698"/>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16" t="str">
        <f>IF(AND([0]!Godina=2024,MID(Osnovni_podaci!D20,3,1)="e",Osnovni_podaci!L24=5,Osnovni_podaci!G24=0,MID(Osnovni_podaci!D20,3,1)="e",MID(Osnovni_podaci!D20,8,1)="d"),VLOOKUP( $B106, T_Aop[], 6, 1),A1)</f>
        <v xml:space="preserve">  II  RASHODI OD USKLAĐIVANJA VRIJEDNOSTI IMOVINE (287 + 294)</v>
      </c>
      <c r="E106" s="717"/>
      <c r="F106" s="717"/>
      <c r="G106" s="717"/>
      <c r="H106" s="718"/>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6</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696" t="str">
        <f>IF(AND([0]!Godina=2024,MID(Osnovni_podaci!D20,3,1)="e",Osnovni_podaci!L24=5,Osnovni_podaci!G24=0,MID(Osnovni_podaci!D20,3,1)="e",MID(Osnovni_podaci!D20,8,1)="d"),VLOOKUP( $B107, T_Aop[], 6, 1),A1)</f>
        <v xml:space="preserve">    1.  Rashodi od usklađivanja vrijednosti imovine (osim finansijske) (288 do 293)</v>
      </c>
      <c r="E107" s="697"/>
      <c r="F107" s="697"/>
      <c r="G107" s="697"/>
      <c r="H107" s="698"/>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6</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3" t="str">
        <f>IF(AND([0]!Godina=2024,MID(Osnovni_podaci!D20,3,1)="e",Osnovni_podaci!L24=5,Osnovni_podaci!G24=0,MID(Osnovni_podaci!D20,3,1)="e",MID(Osnovni_podaci!D20,8,1)="d"),VLOOKUP( $B108, T_Aop[], 6, 1),A1)</f>
        <v xml:space="preserve">      1.1. Neto gubici po osnovu obezvređenja nematerijalnih sredstava</v>
      </c>
      <c r="E108" s="694"/>
      <c r="F108" s="694"/>
      <c r="G108" s="694"/>
      <c r="H108" s="695"/>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696" t="str">
        <f>IF(AND([0]!Godina=2024,MID(Osnovni_podaci!D20,3,1)="e",Osnovni_podaci!L24=5,Osnovni_podaci!G24=0,MID(Osnovni_podaci!D20,3,1)="e",MID(Osnovni_podaci!D20,8,1)="d"),VLOOKUP( $B109, T_Aop[], 6, 1),A1)</f>
        <v xml:space="preserve">      1.2. Neto gubici po osnovu obezvređenja nekretnina, postrojenja i opreme</v>
      </c>
      <c r="E109" s="697"/>
      <c r="F109" s="697"/>
      <c r="G109" s="697"/>
      <c r="H109" s="698"/>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3"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694"/>
      <c r="F110" s="694"/>
      <c r="G110" s="694"/>
      <c r="H110" s="695"/>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696"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697"/>
      <c r="F111" s="697"/>
      <c r="G111" s="697"/>
      <c r="H111" s="698"/>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3" t="str">
        <f>IF(AND([0]!Godina=2024,MID(Osnovni_podaci!D20,3,1)="e",Osnovni_podaci!L24=5,Osnovni_podaci!G24=0,MID(Osnovni_podaci!D20,3,1)="e",MID(Osnovni_podaci!D20,8,1)="d"),VLOOKUP( $B112, T_Aop[], 6, 1),A1)</f>
        <v xml:space="preserve">      1.5. Neto gubici od usklađivanja vrijednosti zaliha materijala i robe </v>
      </c>
      <c r="E112" s="694"/>
      <c r="F112" s="694"/>
      <c r="G112" s="694"/>
      <c r="H112" s="695"/>
      <c r="I112" s="59">
        <f>VLOOKUP( $B112, T_Aop[], 4, 1)</f>
        <v>292</v>
      </c>
      <c r="J112" s="452"/>
      <c r="K112" s="452"/>
      <c r="L112" s="453">
        <v>6</v>
      </c>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696"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697"/>
      <c r="F113" s="697"/>
      <c r="G113" s="697"/>
      <c r="H113" s="698"/>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3" t="str">
        <f>IF(AND([0]!Godina=2024,MID(Osnovni_podaci!D20,3,1)="e",Osnovni_podaci!L24=5,Osnovni_podaci!G24=0,MID(Osnovni_podaci!D20,3,1)="e",MID(Osnovni_podaci!D20,8,1)="d"),VLOOKUP( $B114, T_Aop[], 6, 1),A1)</f>
        <v xml:space="preserve">    2.  Gubici od usklađivanja vrijednosti finansijskih sredstava (295 do 298)</v>
      </c>
      <c r="E114" s="694"/>
      <c r="F114" s="694"/>
      <c r="G114" s="694"/>
      <c r="H114" s="695"/>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696" t="str">
        <f>IF(AND([0]!Godina=2024,MID(Osnovni_podaci!D20,3,1)="e",Osnovni_podaci!L24=5,Osnovni_podaci!G24=0,MID(Osnovni_podaci!D20,3,1)="e",MID(Osnovni_podaci!D20,8,1)="d"),VLOOKUP( $B115, T_Aop[], 6, 1),A1)</f>
        <v xml:space="preserve">      2.1 Neto gubici od usklađivanja vrijednosti dugoročnih finansijskih sredstava</v>
      </c>
      <c r="E115" s="697"/>
      <c r="F115" s="697"/>
      <c r="G115" s="697"/>
      <c r="H115" s="698"/>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3"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694"/>
      <c r="F116" s="694"/>
      <c r="G116" s="694"/>
      <c r="H116" s="695"/>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696" t="str">
        <f>IF(AND([0]!Godina=2024,MID(Osnovni_podaci!D20,3,1)="e",Osnovni_podaci!L24=5,Osnovni_podaci!G24=0,MID(Osnovni_podaci!D20,3,1)="e",MID(Osnovni_podaci!D20,8,1)="d"),VLOOKUP( $B117, T_Aop[], 6, 1),A1)</f>
        <v xml:space="preserve">      2.3 Neto gubici od usklađivanja vrijednosti potraživanja od kupaca</v>
      </c>
      <c r="E117" s="697"/>
      <c r="F117" s="697"/>
      <c r="G117" s="697"/>
      <c r="H117" s="698"/>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3" t="str">
        <f>IF(AND([0]!Godina=2024,MID(Osnovni_podaci!D20,3,1)="e",Osnovni_podaci!L24=5,Osnovni_podaci!G24=0,MID(Osnovni_podaci!D20,3,1)="e",MID(Osnovni_podaci!D20,8,1)="d"),VLOOKUP( $B118, T_Aop[], 6, 1),A1)</f>
        <v xml:space="preserve">      2.4  Neto gubici od usklađivanja vrijednosti ostalih finansijskih sredstava</v>
      </c>
      <c r="E118" s="694"/>
      <c r="F118" s="694"/>
      <c r="G118" s="694"/>
      <c r="H118" s="695"/>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13" t="str">
        <f>IF(AND([0]!Godina=2024,MID(Osnovni_podaci!D20,3,1)="e",Osnovni_podaci!L24=5,Osnovni_podaci!G24=0,MID(Osnovni_podaci!D20,3,1)="e",MID(Osnovni_podaci!D20,8,1)="d"),VLOOKUP( $B119, T_Aop[], 6, 1),A1)</f>
        <v xml:space="preserve">  J. DOBITAK PO OSNOVU USKLAĐIVANJA VRIJEDNOSTI IMOVINE (273 – 286) </v>
      </c>
      <c r="E119" s="714"/>
      <c r="F119" s="714"/>
      <c r="G119" s="714"/>
      <c r="H119" s="715"/>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12</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16" t="str">
        <f>IF(AND([0]!Godina=2024,MID(Osnovni_podaci!D20,3,1)="e",Osnovni_podaci!L24=5,Osnovni_podaci!G24=0,MID(Osnovni_podaci!D20,3,1)="e",MID(Osnovni_podaci!D20,8,1)="d"),VLOOKUP( $B120, T_Aop[], 6, 1),A1)</f>
        <v xml:space="preserve">  K. GUBITAK PO OSNOVU USKLAĐIVANJA VRIJEDNOSTI IMOVINE (286 – 273)</v>
      </c>
      <c r="E120" s="717"/>
      <c r="F120" s="717"/>
      <c r="G120" s="717"/>
      <c r="H120" s="718"/>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13"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14"/>
      <c r="F121" s="714"/>
      <c r="G121" s="714"/>
      <c r="H121" s="715"/>
      <c r="I121" s="179">
        <f>VLOOKUP( $B121, T_Aop[], 4, 1)</f>
        <v>301</v>
      </c>
      <c r="J121" s="450"/>
      <c r="K121" s="161">
        <v>155</v>
      </c>
      <c r="L121" s="162">
        <v>6171</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16"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17"/>
      <c r="F122" s="717"/>
      <c r="G122" s="717"/>
      <c r="H122" s="718"/>
      <c r="I122" s="178">
        <f>VLOOKUP( $B122, T_Aop[], 4, 1)</f>
        <v>302</v>
      </c>
      <c r="J122" s="452"/>
      <c r="K122" s="81">
        <v>5093</v>
      </c>
      <c r="L122" s="82">
        <v>1222</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696" t="str">
        <f>IF(AND([0]!Godina=2024,MID(Osnovni_podaci!D20,3,1)="e",Osnovni_podaci!L24=5,Osnovni_podaci!G24=0,MID(Osnovni_podaci!D20,3,1)="e",MID(Osnovni_podaci!D20,8,1)="d"),VLOOKUP( $B123, T_Aop[], 6, 1),A1)</f>
        <v>Udio u dobiti pridruženog društva i zajedničkog poduhvata primjenom metode udjela</v>
      </c>
      <c r="E123" s="697"/>
      <c r="F123" s="697"/>
      <c r="G123" s="697"/>
      <c r="H123" s="698"/>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3" t="str">
        <f>IF(AND([0]!Godina=2024,MID(Osnovni_podaci!D20,3,1)="e",Osnovni_podaci!L24=5,Osnovni_podaci!G24=0,MID(Osnovni_podaci!D20,3,1)="e",MID(Osnovni_podaci!D20,8,1)="d"),VLOOKUP( $B124, T_Aop[], 6, 1),A1)</f>
        <v>Udio u gubitku pridruženog društva i zajedničkog poduhvata primjenom metode udjela</v>
      </c>
      <c r="E124" s="694"/>
      <c r="F124" s="694"/>
      <c r="G124" s="694"/>
      <c r="H124" s="695"/>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13" t="str">
        <f>IF(AND([0]!Godina=2024,MID(Osnovni_podaci!D20,3,1)="e",Osnovni_podaci!L24=5,Osnovni_podaci!G24=0,MID(Osnovni_podaci!D20,3,1)="e",MID(Osnovni_podaci!D20,8,1)="d"),VLOOKUP( $B125, T_Aop[], 6, 1),A1)</f>
        <v xml:space="preserve">  UKUPNI PRIHODI (201+239+251+273+301+303)</v>
      </c>
      <c r="E125" s="714"/>
      <c r="F125" s="714"/>
      <c r="G125" s="714"/>
      <c r="H125" s="715"/>
      <c r="I125" s="179">
        <f>VLOOKUP( $B125, T_Aop[], 4, 1)</f>
        <v>305</v>
      </c>
      <c r="J125" s="450"/>
      <c r="K125" s="67">
        <f>IF(AND([0]!Godina=2024,MID(Osnovni_podaci!D20,3,1)="e",Osnovni_podaci!L24=5,Osnovni_podaci!G24=0,MID(Osnovni_podaci!D20,3,1)="e",MID(Osnovni_podaci!D20,8,1)="d"),SUBTOTAL(9, K22:K33, K34, K36, K38, K59:K63, K71:K80, K93:K105,K121, K123)-SUBTOTAL(9,K35,K37),A1)</f>
        <v>29441594</v>
      </c>
      <c r="L125" s="68">
        <f>IF(AND([0]!Godina=2024,MID(Osnovni_podaci!D20,3,1)="e",Osnovni_podaci!L24=5,Osnovni_podaci!G24=0,MID(Osnovni_podaci!D20,3,1)="e",MID(Osnovni_podaci!D20,8,1)="d"),SUBTOTAL(9, L22:L33, L34, L36, L38, L59:L63, L71:L80, L93:L105,L121, L123)-SUBTOTAL(9,L35,L37),A1)</f>
        <v>26369446</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16" t="str">
        <f>IF(AND([0]!Godina=2024,MID(Osnovni_podaci!D20,3,1)="e",Osnovni_podaci!L24=5,Osnovni_podaci!G24=0,MID(Osnovni_podaci!D20,3,1)="e",MID(Osnovni_podaci!D20,8,1)="d"),VLOOKUP( $B126, T_Aop[], 6, 1),A1)</f>
        <v xml:space="preserve">  UKUPNI RASHODI (219+244+261+286+302+304)</v>
      </c>
      <c r="E126" s="717"/>
      <c r="F126" s="717"/>
      <c r="G126" s="717"/>
      <c r="H126" s="718"/>
      <c r="I126" s="178">
        <f>VLOOKUP( $B126, T_Aop[], 4, 1)</f>
        <v>306</v>
      </c>
      <c r="J126" s="452"/>
      <c r="K126" s="253">
        <f>IF(AND([0]!Godina=2024,MID(Osnovni_podaci!D20,3,1)="e",Osnovni_podaci!L24=5,Osnovni_podaci!G24=0,MID(Osnovni_podaci!D20,3,1)="e",MID(Osnovni_podaci!D20,8,1)="d"),SUBTOTAL(9, K39:K56, K64:K68, K81:K90, K106:K118,K122,K124),A1)</f>
        <v>26964988</v>
      </c>
      <c r="L126" s="489">
        <f>IF(AND([0]!Godina=2024,MID(Osnovni_podaci!D20,3,1)="e",Osnovni_podaci!L24=5,Osnovni_podaci!G24=0,MID(Osnovni_podaci!D20,3,1)="e",MID(Osnovni_podaci!D20,8,1)="d"),SUBTOTAL(9, L39:L56, L64:L68, L81:L90, L106:L118,L122,L124),A1)</f>
        <v>25614965</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13" t="str">
        <f>IF(AND([0]!Godina=2024,MID(Osnovni_podaci!D20,3,1)="e",Osnovni_podaci!L24=5,Osnovni_podaci!G24=0,MID(Osnovni_podaci!D20,3,1)="e",MID(Osnovni_podaci!D20,8,1)="d"),VLOOKUP( $B127, T_Aop[], 6, 1),A1)</f>
        <v xml:space="preserve">  M. DOBIT I GUBITAK PRIJE OPOREZIVANJA
1. Dobit prije oporezivanja (305 – 306)</v>
      </c>
      <c r="E127" s="714"/>
      <c r="F127" s="714"/>
      <c r="G127" s="714"/>
      <c r="H127" s="715"/>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2476606</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754481</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16" t="str">
        <f>IF(AND([0]!Godina=2024,MID(Osnovni_podaci!D20,3,1)="e",Osnovni_podaci!L24=5,Osnovni_podaci!G24=0,MID(Osnovni_podaci!D20,3,1)="e",MID(Osnovni_podaci!D20,8,1)="d"),VLOOKUP( $B128, T_Aop[], 6, 1),A1)</f>
        <v xml:space="preserve">  2. Gubitak prije oporezivanja (306 – 305)</v>
      </c>
      <c r="E128" s="717"/>
      <c r="F128" s="717"/>
      <c r="G128" s="717"/>
      <c r="H128" s="718"/>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13" t="str">
        <f>IF(AND([0]!Godina=2024,MID(Osnovni_podaci!D20,3,1)="e",Osnovni_podaci!L24=5,Osnovni_podaci!G24=0,MID(Osnovni_podaci!D20,3,1)="e",MID(Osnovni_podaci!D20,8,1)="d"),VLOOKUP( $B129, T_Aop[], 6, 1),A1)</f>
        <v xml:space="preserve">  N. TEKUĆI I ODLOŽENI POREZ NA DOBIT
1. Poreski rashodi perioda </v>
      </c>
      <c r="E129" s="714"/>
      <c r="F129" s="714"/>
      <c r="G129" s="714"/>
      <c r="H129" s="715"/>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3" t="str">
        <f>IF(AND([0]!Godina=2024,MID(Osnovni_podaci!D20,3,1)="e",Osnovni_podaci!L24=5,Osnovni_podaci!G24=0,MID(Osnovni_podaci!D20,3,1)="e",MID(Osnovni_podaci!D20,8,1)="d"),VLOOKUP( $B130, T_Aop[], 6, 1),A1)</f>
        <v xml:space="preserve">    2. Odloženi poreski rashodi (311 + 312)</v>
      </c>
      <c r="E130" s="694"/>
      <c r="F130" s="694"/>
      <c r="G130" s="694"/>
      <c r="H130" s="695"/>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696" t="str">
        <f>IF(AND([0]!Godina=2024,MID(Osnovni_podaci!D20,3,1)="e",Osnovni_podaci!L24=5,Osnovni_podaci!G24=0,MID(Osnovni_podaci!D20,3,1)="e",MID(Osnovni_podaci!D20,8,1)="d"),VLOOKUP( $B131, T_Aop[], 6, 1),A1)</f>
        <v xml:space="preserve">      2.1   Efekat smanjenja odloženih poreskih sredstava</v>
      </c>
      <c r="E131" s="697"/>
      <c r="F131" s="697"/>
      <c r="G131" s="697"/>
      <c r="H131" s="698"/>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3" t="str">
        <f>IF(AND([0]!Godina=2024,MID(Osnovni_podaci!D20,3,1)="e",Osnovni_podaci!L24=5,Osnovni_podaci!G24=0,MID(Osnovni_podaci!D20,3,1)="e",MID(Osnovni_podaci!D20,8,1)="d"),VLOOKUP( $B132, T_Aop[], 6, 1),A1)</f>
        <v xml:space="preserve">      2.2   Efekat povećanja odloženih poreskih obaveza</v>
      </c>
      <c r="E132" s="694"/>
      <c r="F132" s="694"/>
      <c r="G132" s="694"/>
      <c r="H132" s="695"/>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696" t="str">
        <f>IF(AND([0]!Godina=2024,MID(Osnovni_podaci!D20,3,1)="e",Osnovni_podaci!L24=5,Osnovni_podaci!G24=0,MID(Osnovni_podaci!D20,3,1)="e",MID(Osnovni_podaci!D20,8,1)="d"),VLOOKUP( $B133, T_Aop[], 6, 1),A1)</f>
        <v xml:space="preserve">    3. Odloženi poreski prihodi (314 + 315)</v>
      </c>
      <c r="E133" s="697"/>
      <c r="F133" s="697"/>
      <c r="G133" s="697"/>
      <c r="H133" s="698"/>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3" t="str">
        <f>IF(AND([0]!Godina=2024,MID(Osnovni_podaci!D20,3,1)="e",Osnovni_podaci!L24=5,Osnovni_podaci!G24=0,MID(Osnovni_podaci!D20,3,1)="e",MID(Osnovni_podaci!D20,8,1)="d"),VLOOKUP( $B134, T_Aop[], 6, 1),A1)</f>
        <v xml:space="preserve">      3.1 Efekat povećanja odloženih poreskih sredstava</v>
      </c>
      <c r="E134" s="694"/>
      <c r="F134" s="694"/>
      <c r="G134" s="694"/>
      <c r="H134" s="695"/>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696" t="str">
        <f>IF(AND([0]!Godina=2024,MID(Osnovni_podaci!D20,3,1)="e",Osnovni_podaci!L24=5,Osnovni_podaci!G24=0,MID(Osnovni_podaci!D20,3,1)="e",MID(Osnovni_podaci!D20,8,1)="d"),VLOOKUP( $B135, T_Aop[], 6, 1),A1)</f>
        <v xml:space="preserve">      3.2 Efekat smanjenja odloženih poreskih obaveza</v>
      </c>
      <c r="E135" s="697"/>
      <c r="F135" s="697"/>
      <c r="G135" s="697"/>
      <c r="H135" s="698"/>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16"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17"/>
      <c r="F136" s="717"/>
      <c r="G136" s="717"/>
      <c r="H136" s="718"/>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2476606</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754481</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13" t="str">
        <f>IF(AND([0]!Godina=2024,MID(Osnovni_podaci!D20,3,1)="e",Osnovni_podaci!L24=5,Osnovni_podaci!G24=0,MID(Osnovni_podaci!D20,3,1)="e",MID(Osnovni_podaci!D20,8,1)="d"),VLOOKUP( $B137, T_Aop[], 6, 1),A1)</f>
        <v>2. Neto gubitak tekuće godine (308+309+310-313)&gt;0 i 308&gt;0 ili (309+310-307-313)&gt;0 i 307&gt;0</v>
      </c>
      <c r="E137" s="714"/>
      <c r="F137" s="714"/>
      <c r="G137" s="714"/>
      <c r="H137" s="715"/>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3" t="str">
        <f>IF(AND([0]!Godina=2024,MID(Osnovni_podaci!D20,3,1)="e",Osnovni_podaci!L24=5,Osnovni_podaci!G24=0,MID(Osnovni_podaci!D20,3,1)="e",MID(Osnovni_podaci!D20,8,1)="d"),VLOOKUP( $B138, T_Aop[], 6, 1),A1)</f>
        <v xml:space="preserve">  O. Međudividende i drugi vidovi raspodjele dobitka u toku perioda</v>
      </c>
      <c r="E138" s="694"/>
      <c r="F138" s="694"/>
      <c r="G138" s="694"/>
      <c r="H138" s="695"/>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696" t="str">
        <f>IF(AND([0]!Godina=2024,MID(Osnovni_podaci!D20,3,1)="e",Osnovni_podaci!L24=5,Osnovni_podaci!G24=0,MID(Osnovni_podaci!D20,3,1)="e",MID(Osnovni_podaci!D20,8,1)="d"),VLOOKUP( $B139, T_Aop[], 6, 1),A1)</f>
        <v>Dio neto dobiti/gubitka koji pripada većinskim vlasnicima</v>
      </c>
      <c r="E139" s="697"/>
      <c r="F139" s="697"/>
      <c r="G139" s="697"/>
      <c r="H139" s="698"/>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3" t="str">
        <f>IF(AND([0]!Godina=2024,MID(Osnovni_podaci!D20,3,1)="e",Osnovni_podaci!L24=5,Osnovni_podaci!G24=0,MID(Osnovni_podaci!D20,3,1)="e",MID(Osnovni_podaci!D20,8,1)="d"),VLOOKUP( $B140, T_Aop[], 6, 1),A1)</f>
        <v>Dio neto dobiti/gubitka koji pripada manjinskim vlasnicima</v>
      </c>
      <c r="E140" s="694"/>
      <c r="F140" s="694"/>
      <c r="G140" s="694"/>
      <c r="H140" s="695"/>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696" t="str">
        <f>IF(AND([0]!Godina=2024,MID(Osnovni_podaci!D20,3,1)="e",Osnovni_podaci!L24=5,Osnovni_podaci!G24=0,MID(Osnovni_podaci!D20,3,1)="e",MID(Osnovni_podaci!D20,8,1)="d"),VLOOKUP( $B141, T_Aop[], 6, 1),A1)</f>
        <v>Obična zarada po akciji</v>
      </c>
      <c r="E141" s="697"/>
      <c r="F141" s="697"/>
      <c r="G141" s="697"/>
      <c r="H141" s="698"/>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27" t="str">
        <f>IF(AND([0]!Godina=2024,MID(Osnovni_podaci!D20,3,1)="e",Osnovni_podaci!L24=5,Osnovni_podaci!G24=0,MID(Osnovni_podaci!D20,3,1)="e",MID(Osnovni_podaci!D20,8,1)="d"),VLOOKUP( $B142, T_Aop[], 6, 1),A1)</f>
        <v>Razrijeđena zarada po akciji</v>
      </c>
      <c r="E142" s="728"/>
      <c r="F142" s="728"/>
      <c r="G142" s="728"/>
      <c r="H142" s="729"/>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30" t="str">
        <f>IF(AND([0]!Godina=2024,MID(Osnovni_podaci!D20,3,1)="e",Osnovni_podaci!L24=5,Osnovni_podaci!G24=0,MID(Osnovni_podaci!D20,3,1)="e",MID(Osnovni_podaci!D20,8,1)="d"),VLOOKUP( $B143, T_Aop[], 6, 1),A1)</f>
        <v>Prosječan broj zaposlenih po osnovu časova rada</v>
      </c>
      <c r="E143" s="731"/>
      <c r="F143" s="731"/>
      <c r="G143" s="731"/>
      <c r="H143" s="732"/>
      <c r="I143" s="63">
        <f>VLOOKUP( $B143, T_Aop[], 4, 1)</f>
        <v>323</v>
      </c>
      <c r="J143" s="450"/>
      <c r="K143" s="478">
        <v>414</v>
      </c>
      <c r="L143" s="479">
        <v>416</v>
      </c>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722" t="str">
        <f>IF(AND([0]!Godina=2024,MID(Osnovni_podaci!D20,3,1)="e",Osnovni_podaci!L24=5,Osnovni_podaci!G24=0,MID(Osnovni_podaci!D20,3,1)="e",MID(Osnovni_podaci!D20,8,1)="d"),VLOOKUP( $B144, T_Aop[], 6, 1),A1)</f>
        <v>Prosječan broj zaposlenih po osnovu stanja na kraju mjeseca</v>
      </c>
      <c r="E144" s="723"/>
      <c r="F144" s="723"/>
      <c r="G144" s="723"/>
      <c r="H144" s="724"/>
      <c r="I144" s="186">
        <f>VLOOKUP( $B144, T_Aop[], 4, 1)</f>
        <v>324</v>
      </c>
      <c r="J144" s="493"/>
      <c r="K144" s="480">
        <v>408</v>
      </c>
      <c r="L144" s="481">
        <v>410</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88"/>
      <c r="G147" s="688"/>
      <c r="I147" s="78"/>
      <c r="J147" s="687" t="str">
        <f>Podnozje_Direktor</f>
        <v>Lice ovlašćeno za zastupanje:</v>
      </c>
      <c r="K147" s="687"/>
      <c r="L147" s="687"/>
    </row>
    <row r="148" spans="2:12" ht="15" customHeight="1" x14ac:dyDescent="0.2">
      <c r="B148" s="15"/>
      <c r="C148" s="180" t="str">
        <f>Podnozje_Dana</f>
        <v>Dana:</v>
      </c>
      <c r="D148" s="417" t="str">
        <f>Podatak_Dana</f>
        <v>31.10.2024.</v>
      </c>
      <c r="E148"/>
      <c r="F148" s="40" t="str">
        <f>Podnozje_Broj_licence</f>
        <v>Broj licence:</v>
      </c>
      <c r="G148" t="str">
        <f>Podatak_Broj_Licence</f>
        <v>0029/24</v>
      </c>
      <c r="J148" s="9"/>
      <c r="K148" s="691" t="str">
        <f>Podatak_Direktor</f>
        <v>Aco Stanišić ma. ecc</v>
      </c>
      <c r="L148" s="691"/>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90"/>
      <c r="H152" s="690"/>
      <c r="I152" s="232"/>
      <c r="K152" s="261"/>
      <c r="L152" s="261"/>
    </row>
    <row r="153" spans="2:12" ht="27.75" customHeight="1" x14ac:dyDescent="0.2"/>
    <row r="161" x14ac:dyDescent="0.2"/>
  </sheetData>
  <sheetProtection algorithmName="SHA-512" hashValue="YRw4BzYQjMIjQ9OMl5/P+jFXsGuXxPJGvu/MQAiy2rERIzBNDDZ8/9d+JuSdmDtCTdF69acAxMBuXRDJlxQ6HQ==" saltValue="dAZQsoHtbNa84MLVHA9gEw=="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9"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7" t="str">
        <f>Zaglavlje_Naziv_preduzeca</f>
        <v xml:space="preserve">Naziv privrednog društva, zadruge, drugog pravnog lica ili preduzetnika: </v>
      </c>
      <c r="D5" s="647"/>
      <c r="E5" s="647"/>
      <c r="L5" s="391" t="str">
        <f>Podatak_MB</f>
        <v>01814788</v>
      </c>
    </row>
    <row r="6" spans="2:12" ht="12.75" customHeight="1" x14ac:dyDescent="0.2">
      <c r="B6" s="15"/>
      <c r="C6" s="647"/>
      <c r="D6" s="647"/>
      <c r="E6" s="647"/>
      <c r="F6" s="9"/>
      <c r="L6" s="420" t="str">
        <f>Zaglavlje_MB</f>
        <v>Matični broj</v>
      </c>
    </row>
    <row r="7" spans="2:12" ht="12.75" customHeight="1" x14ac:dyDescent="0.2">
      <c r="B7" s="15"/>
      <c r="C7" s="746" t="str">
        <f>Podatak_Naziv_preduzeca</f>
        <v>Elektrodistribucija a.d. Pale</v>
      </c>
      <c r="D7" s="746"/>
      <c r="E7" s="746"/>
      <c r="F7" s="746"/>
      <c r="L7" s="391" t="str">
        <f>Podatak_Sifra_djelatnosti</f>
        <v>35.13</v>
      </c>
    </row>
    <row r="8" spans="2:12" ht="12.75" customHeight="1" x14ac:dyDescent="0.2">
      <c r="B8" s="15"/>
      <c r="C8" s="125" t="str">
        <f>Zaglavlje_Sjediste</f>
        <v>Sjedište:</v>
      </c>
      <c r="D8" s="748" t="str">
        <f>Podatak_Sjediste</f>
        <v>Pale</v>
      </c>
      <c r="E8" s="748"/>
      <c r="F8" s="748"/>
      <c r="L8" s="420" t="str">
        <f>Zaglavlje_Sifra_djelatnosti</f>
        <v>Šifra djelatnosti</v>
      </c>
    </row>
    <row r="9" spans="2:12" ht="12.75" customHeight="1" x14ac:dyDescent="0.2">
      <c r="B9" s="15"/>
      <c r="C9" s="666" t="str">
        <f>Zaglavlje_Ziro_racun</f>
        <v>Račun kod ovlašćene organizacije za platni promet:</v>
      </c>
      <c r="D9" s="666"/>
      <c r="E9" s="666"/>
      <c r="F9" s="243"/>
      <c r="L9" s="391" t="str">
        <f>Podatak_JIB</f>
        <v>4400570050004</v>
      </c>
    </row>
    <row r="10" spans="2:12" ht="12.75" customHeight="1" x14ac:dyDescent="0.2">
      <c r="B10" s="15"/>
      <c r="C10" s="747" t="str">
        <f>Podatak_Ziro_racun_1</f>
        <v>562-012-00002669-48</v>
      </c>
      <c r="D10" s="747"/>
      <c r="E10" s="747"/>
      <c r="F10" s="747"/>
      <c r="K10" s="745" t="str">
        <f>Zaglavlje_JIB</f>
        <v>JIB</v>
      </c>
      <c r="L10" s="745"/>
    </row>
    <row r="11" spans="2:12" ht="12.75" customHeight="1" x14ac:dyDescent="0.2">
      <c r="B11" s="15"/>
      <c r="C11" s="747" t="str">
        <f>Podatak_Ziro_racun_2</f>
        <v>555-002-00004363-23</v>
      </c>
      <c r="D11" s="747"/>
      <c r="E11" s="747"/>
      <c r="F11" s="747"/>
    </row>
    <row r="12" spans="2:12" ht="12.75" customHeight="1" x14ac:dyDescent="0.2">
      <c r="B12" s="15"/>
      <c r="C12" s="719" t="str">
        <f>Podatak_Ziro_racun_3</f>
        <v>567-491-10000002-86</v>
      </c>
      <c r="D12" s="719"/>
      <c r="E12" s="719"/>
      <c r="F12" s="719"/>
    </row>
    <row r="13" spans="2:12" ht="12.75" customHeight="1" x14ac:dyDescent="0.2">
      <c r="B13" s="15"/>
      <c r="C13" s="719" t="str">
        <f>Podatak_Ziro_racun_4</f>
        <v/>
      </c>
      <c r="D13" s="719"/>
      <c r="E13" s="719"/>
      <c r="F13" s="719"/>
      <c r="G13" s="18"/>
      <c r="H13" s="18"/>
      <c r="I13" s="18"/>
      <c r="J13"/>
      <c r="K13"/>
    </row>
    <row r="14" spans="2:12" ht="15.75" customHeight="1" x14ac:dyDescent="0.2">
      <c r="B14" s="15"/>
      <c r="C14" s="625" t="str">
        <f>IF( Id_Konsolidovani, Nazivi_bilansa_Konsolidovani_naziv &amp; LOWER( Nazivi_bilansa_BUb), Nazivi_bilansa_BUb)</f>
        <v>Izvještaj</v>
      </c>
      <c r="D14" s="625"/>
      <c r="E14" s="625"/>
      <c r="F14" s="625"/>
      <c r="G14" s="625"/>
      <c r="H14" s="625"/>
      <c r="I14" s="625"/>
      <c r="J14" s="625"/>
      <c r="K14" s="625"/>
      <c r="L14" s="625"/>
    </row>
    <row r="15" spans="2:12" ht="14.25" x14ac:dyDescent="0.2">
      <c r="B15" s="15"/>
      <c r="C15" s="735" t="str">
        <f>Nazivi_bilansa_BUb1</f>
        <v>o ostalom rezultatu u periodu</v>
      </c>
      <c r="D15" s="735"/>
      <c r="E15" s="735"/>
      <c r="F15" s="735"/>
      <c r="G15" s="735"/>
      <c r="H15" s="735"/>
      <c r="I15" s="735"/>
      <c r="J15" s="735"/>
      <c r="K15" s="735"/>
      <c r="L15" s="735"/>
    </row>
    <row r="16" spans="2:12" ht="12.75" customHeight="1" x14ac:dyDescent="0.2">
      <c r="B16" s="15"/>
      <c r="C16" s="663" t="str">
        <f>Datumi_Datum_BU</f>
        <v>za period od 01.01. do 30.09.2024. godine</v>
      </c>
      <c r="D16" s="663"/>
      <c r="E16" s="663"/>
      <c r="F16" s="663"/>
      <c r="G16" s="663"/>
      <c r="H16" s="663"/>
      <c r="I16" s="663"/>
      <c r="J16" s="663"/>
      <c r="K16" s="663"/>
      <c r="L16" s="663"/>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9" t="str">
        <f>Tabele_zaglavlje_Grupa_racuna</f>
        <v>Grupa računa, račun</v>
      </c>
      <c r="D18" s="741" t="str">
        <f>Tabele_zaglavlje_Pozicija</f>
        <v>POZICIJA</v>
      </c>
      <c r="E18" s="741"/>
      <c r="F18" s="741"/>
      <c r="G18" s="741"/>
      <c r="H18" s="741"/>
      <c r="I18" s="736" t="str">
        <f>Tabele_zaglavlje_Oznaka_aop</f>
        <v>Oznaka za AOP</v>
      </c>
      <c r="J18" s="736" t="str">
        <f>Tabele_zaglavlje_Napomena_aop</f>
        <v>Napomena</v>
      </c>
      <c r="K18" s="725" t="str">
        <f>Tabele_zaglavlje_Iznos</f>
        <v>Iznos</v>
      </c>
      <c r="L18" s="738"/>
    </row>
    <row r="19" spans="2:16" ht="25.5" customHeight="1" x14ac:dyDescent="0.2">
      <c r="B19" s="15"/>
      <c r="C19" s="740"/>
      <c r="D19" s="742"/>
      <c r="E19" s="742"/>
      <c r="F19" s="742"/>
      <c r="G19" s="742"/>
      <c r="H19" s="742"/>
      <c r="I19" s="737"/>
      <c r="J19" s="737"/>
      <c r="K19" s="42" t="str">
        <f>Tabele_zaglavlje_Tekuca_godina</f>
        <v>Tekuća godina</v>
      </c>
      <c r="L19" s="43" t="str">
        <f>Tabele_zaglavlje_Prethodna_godina</f>
        <v>Prethodna godina</v>
      </c>
      <c r="P19" s="134" t="s">
        <v>490</v>
      </c>
    </row>
    <row r="20" spans="2:16" ht="12.75" customHeight="1" x14ac:dyDescent="0.2">
      <c r="B20" s="12" t="s">
        <v>123</v>
      </c>
      <c r="C20" s="69">
        <v>1</v>
      </c>
      <c r="D20" s="743">
        <v>2</v>
      </c>
      <c r="E20" s="743"/>
      <c r="F20" s="743"/>
      <c r="G20" s="743"/>
      <c r="H20" s="743"/>
      <c r="I20" s="70">
        <v>3</v>
      </c>
      <c r="J20" s="70">
        <v>4</v>
      </c>
      <c r="K20" s="70">
        <v>5</v>
      </c>
      <c r="L20" s="408">
        <v>6</v>
      </c>
    </row>
    <row r="21" spans="2:16" ht="12.75" customHeight="1" x14ac:dyDescent="0.2">
      <c r="B21" s="15">
        <v>263</v>
      </c>
      <c r="C21" s="72">
        <f>VLOOKUP( $B21, T_Aop[], 5, 1)</f>
        <v>0</v>
      </c>
      <c r="D21" s="744" t="str">
        <f>VLOOKUP( $B21, T_Aop[], 6, 1)</f>
        <v>A  NETO DOBIT ILI NETO GUBITAK PERIODA</v>
      </c>
      <c r="E21" s="744"/>
      <c r="F21" s="744"/>
      <c r="G21" s="744"/>
      <c r="H21" s="744"/>
      <c r="I21" s="500">
        <f>VLOOKUP( $B21, T_Aop[], 4, 1)</f>
        <v>400</v>
      </c>
      <c r="J21" s="508"/>
      <c r="K21" s="513">
        <f>'02a'!K136-'02a'!K137</f>
        <v>2476606</v>
      </c>
      <c r="L21" s="514">
        <f>'02a'!L136-'02a'!L137</f>
        <v>754481</v>
      </c>
      <c r="P21" s="27"/>
    </row>
    <row r="22" spans="2:16" ht="27" customHeight="1" x14ac:dyDescent="0.2">
      <c r="B22" s="15">
        <v>264</v>
      </c>
      <c r="C22" s="66">
        <f>VLOOKUP( $B22, T_Aop[], 5, 1)</f>
        <v>0</v>
      </c>
      <c r="D22" s="733" t="str">
        <f>VLOOKUP( $B22, T_Aop[], 6, 1)</f>
        <v xml:space="preserve">    1. Stavke koje mogu biti reklasifikovane u bilans uspjeha (±402+403±404±405±406±407)</v>
      </c>
      <c r="E22" s="733"/>
      <c r="F22" s="733"/>
      <c r="G22" s="733"/>
      <c r="H22" s="733"/>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4" t="str">
        <f>VLOOKUP( $B23, T_Aop[], 6, 1)</f>
        <v xml:space="preserve">      1.1 Povećanje/(smanjenje) fer vrijednosti dužničkih instrumenata po fer vrijednosti kroz ostali ukupan rezultat</v>
      </c>
      <c r="E23" s="734"/>
      <c r="F23" s="734"/>
      <c r="G23" s="734"/>
      <c r="H23" s="734"/>
      <c r="I23" s="59">
        <f>VLOOKUP( $B23, T_Aop[], 4, 1)</f>
        <v>402</v>
      </c>
      <c r="J23" s="496"/>
      <c r="K23" s="511"/>
      <c r="L23" s="410"/>
      <c r="P23" s="133" t="s">
        <v>313</v>
      </c>
    </row>
    <row r="24" spans="2:16" ht="25.5" x14ac:dyDescent="0.2">
      <c r="B24" s="15">
        <v>266</v>
      </c>
      <c r="C24" s="66" t="str">
        <f>VLOOKUP( $B24, T_Aop[], 5, 1)</f>
        <v>Promjena na 331</v>
      </c>
      <c r="D24" s="733" t="str">
        <f>VLOOKUP( $B24, T_Aop[], 6, 1)</f>
        <v xml:space="preserve">      1.2 Efekti proistekli iz transakcija zaštite ("hedging")</v>
      </c>
      <c r="E24" s="733"/>
      <c r="F24" s="733"/>
      <c r="G24" s="733"/>
      <c r="H24" s="733"/>
      <c r="I24" s="63">
        <f>VLOOKUP( $B24, T_Aop[], 4, 1)</f>
        <v>403</v>
      </c>
      <c r="J24" s="509"/>
      <c r="K24" s="165"/>
      <c r="L24" s="166"/>
      <c r="P24"/>
    </row>
    <row r="25" spans="2:16" ht="23.25" customHeight="1" x14ac:dyDescent="0.2">
      <c r="B25" s="15">
        <v>267</v>
      </c>
      <c r="C25" s="58">
        <f>VLOOKUP( $B25, T_Aop[], 5, 1)</f>
        <v>0</v>
      </c>
      <c r="D25" s="734" t="str">
        <f>VLOOKUP( $B25, T_Aop[], 6, 1)</f>
        <v xml:space="preserve">      1.3 Udio u ostalom ukupnom rezultatu pridruženog društva i zajedničkog poduhvata primjenom metode udjela</v>
      </c>
      <c r="E25" s="734"/>
      <c r="F25" s="734"/>
      <c r="G25" s="734"/>
      <c r="H25" s="734"/>
      <c r="I25" s="59">
        <f>VLOOKUP( $B25, T_Aop[], 4, 1)</f>
        <v>404</v>
      </c>
      <c r="J25" s="496"/>
      <c r="K25" s="163"/>
      <c r="L25" s="164"/>
      <c r="P25"/>
    </row>
    <row r="26" spans="2:16" ht="25.5" customHeight="1" x14ac:dyDescent="0.2">
      <c r="B26" s="15">
        <v>268</v>
      </c>
      <c r="C26" s="66">
        <f>VLOOKUP( $B26, T_Aop[], 5, 1)</f>
        <v>0</v>
      </c>
      <c r="D26" s="733" t="str">
        <f>VLOOKUP( $B26, T_Aop[], 6, 1)</f>
        <v xml:space="preserve">      1.4 Dobici ili gubici po osnovu konverzije finansijskih izvještaja inostranog poslovanja</v>
      </c>
      <c r="E26" s="733"/>
      <c r="F26" s="733"/>
      <c r="G26" s="733"/>
      <c r="H26" s="733"/>
      <c r="I26" s="63">
        <f>VLOOKUP( $B26, T_Aop[], 4, 1)</f>
        <v>405</v>
      </c>
      <c r="J26" s="509"/>
      <c r="K26" s="411"/>
      <c r="L26" s="412"/>
      <c r="P26"/>
    </row>
    <row r="27" spans="2:16" ht="24" customHeight="1" x14ac:dyDescent="0.2">
      <c r="B27" s="15">
        <v>269</v>
      </c>
      <c r="C27" s="58" t="str">
        <f>VLOOKUP( $B27, T_Aop[], 5, 1)</f>
        <v>Promjena na 339, dio</v>
      </c>
      <c r="D27" s="734" t="str">
        <f>VLOOKUP( $B27, T_Aop[], 6, 1)</f>
        <v xml:space="preserve">      1.5 Ostale stavke koje mogu biti reklasifikovane u bilans uspjeha</v>
      </c>
      <c r="E27" s="734"/>
      <c r="F27" s="734"/>
      <c r="G27" s="734"/>
      <c r="H27" s="734"/>
      <c r="I27" s="59">
        <f>VLOOKUP( $B27, T_Aop[], 4, 1)</f>
        <v>406</v>
      </c>
      <c r="J27" s="496"/>
      <c r="K27" s="163"/>
      <c r="L27" s="164"/>
      <c r="P27"/>
    </row>
    <row r="28" spans="2:16" ht="12.75" customHeight="1" x14ac:dyDescent="0.2">
      <c r="B28" s="15">
        <v>270</v>
      </c>
      <c r="C28" s="66">
        <f>VLOOKUP( $B28, T_Aop[], 5, 1)</f>
        <v>0</v>
      </c>
      <c r="D28" s="733" t="str">
        <f>VLOOKUP( $B28, T_Aop[], 6, 1)</f>
        <v xml:space="preserve">      1.6  Odloženi porez na dobit koji se odnosi na ove stavke </v>
      </c>
      <c r="E28" s="733"/>
      <c r="F28" s="733"/>
      <c r="G28" s="733"/>
      <c r="H28" s="733"/>
      <c r="I28" s="63">
        <f>VLOOKUP( $B28, T_Aop[], 4, 1)</f>
        <v>407</v>
      </c>
      <c r="J28" s="509"/>
      <c r="K28" s="165"/>
      <c r="L28" s="166"/>
      <c r="P28"/>
    </row>
    <row r="29" spans="2:16" ht="20.25" customHeight="1" x14ac:dyDescent="0.2">
      <c r="B29" s="15">
        <v>271</v>
      </c>
      <c r="C29" s="58">
        <f>VLOOKUP( $B29, T_Aop[], 5, 1)</f>
        <v>0</v>
      </c>
      <c r="D29" s="749" t="str">
        <f>VLOOKUP( $B29, T_Aop[], 6, 1)</f>
        <v xml:space="preserve">    2.  Stavke koje neće biti reklasifikovane u bilans uspjeha (± 409± 410 ± 411 ± 412 ± 413 ± 414)</v>
      </c>
      <c r="E29" s="749"/>
      <c r="F29" s="749"/>
      <c r="G29" s="749"/>
      <c r="H29" s="749"/>
      <c r="I29" s="59">
        <f>VLOOKUP( $B29, T_Aop[], 4, 1)</f>
        <v>408</v>
      </c>
      <c r="J29" s="496"/>
      <c r="K29" s="447">
        <f>SUBTOTAL( 9, K30:K35)</f>
        <v>0</v>
      </c>
      <c r="L29" s="448">
        <f>SUBTOTAL( 9, L30:L35)</f>
        <v>0</v>
      </c>
      <c r="P29"/>
    </row>
    <row r="30" spans="2:16" ht="25.5" x14ac:dyDescent="0.2">
      <c r="B30" s="15">
        <v>272</v>
      </c>
      <c r="C30" s="66" t="str">
        <f>VLOOKUP( $B30, T_Aop[], 5, 1)</f>
        <v>Promjena na 330</v>
      </c>
      <c r="D30" s="733" t="str">
        <f>VLOOKUP( $B30, T_Aop[], 6, 1)</f>
        <v xml:space="preserve">      2.1 Revalorizacija nekretnina, postrojenja, opreme i nematerijalne imovine</v>
      </c>
      <c r="E30" s="733"/>
      <c r="F30" s="733"/>
      <c r="G30" s="733"/>
      <c r="H30" s="733"/>
      <c r="I30" s="63">
        <f>VLOOKUP( $B30, T_Aop[], 4, 1)</f>
        <v>409</v>
      </c>
      <c r="J30" s="509"/>
      <c r="K30" s="411"/>
      <c r="L30" s="412"/>
      <c r="P30"/>
    </row>
    <row r="31" spans="2:16" ht="25.5" x14ac:dyDescent="0.2">
      <c r="B31" s="15">
        <v>273</v>
      </c>
      <c r="C31" s="58" t="str">
        <f>VLOOKUP( $B31, T_Aop[], 5, 1)</f>
        <v>Promjena na 332 i 333</v>
      </c>
      <c r="D31" s="734" t="str">
        <f>VLOOKUP( $B31, T_Aop[], 6, 1)</f>
        <v xml:space="preserve">      2.2  Povećanje/(smanjenje) fer vrijednosti vlasničkih instrumenata po fer vrijednosti kroz ostali ukupan rezultat</v>
      </c>
      <c r="E31" s="734"/>
      <c r="F31" s="734"/>
      <c r="G31" s="734"/>
      <c r="H31" s="734"/>
      <c r="I31" s="59">
        <f>VLOOKUP( $B31, T_Aop[], 4, 1)</f>
        <v>410</v>
      </c>
      <c r="J31" s="496"/>
      <c r="K31" s="409"/>
      <c r="L31" s="410"/>
      <c r="P31"/>
    </row>
    <row r="32" spans="2:16" ht="23.25" customHeight="1" x14ac:dyDescent="0.2">
      <c r="B32" s="15">
        <v>274</v>
      </c>
      <c r="C32" s="66" t="str">
        <f>VLOOKUP( $B32, T_Aop[], 5, 1)</f>
        <v>Promjena na 339, dio</v>
      </c>
      <c r="D32" s="733" t="str">
        <f>VLOOKUP( $B32, T_Aop[], 6, 1)</f>
        <v xml:space="preserve">      2.3  Aktuarski dobici/(gubici) od planova definisanih primanja</v>
      </c>
      <c r="E32" s="733"/>
      <c r="F32" s="733"/>
      <c r="G32" s="733"/>
      <c r="H32" s="733"/>
      <c r="I32" s="63">
        <f>VLOOKUP( $B32, T_Aop[], 4, 1)</f>
        <v>411</v>
      </c>
      <c r="J32" s="509"/>
      <c r="K32" s="512"/>
      <c r="L32" s="569"/>
      <c r="P32"/>
    </row>
    <row r="33" spans="2:16" ht="24" customHeight="1" x14ac:dyDescent="0.2">
      <c r="B33" s="15">
        <v>275</v>
      </c>
      <c r="C33" s="58">
        <f>VLOOKUP( $B33, T_Aop[], 5, 1)</f>
        <v>0</v>
      </c>
      <c r="D33" s="734" t="str">
        <f>VLOOKUP( $B33, T_Aop[], 6, 1)</f>
        <v xml:space="preserve">      2.4 Udio u ostalom ukupnom rezultatu pridruženog društva i zajedničkog poduhvata primjenom metode udjela</v>
      </c>
      <c r="E33" s="734"/>
      <c r="F33" s="734"/>
      <c r="G33" s="734"/>
      <c r="H33" s="734"/>
      <c r="I33" s="59">
        <f>VLOOKUP( $B33, T_Aop[], 4, 1)</f>
        <v>412</v>
      </c>
      <c r="J33" s="496"/>
      <c r="K33" s="409"/>
      <c r="L33" s="410"/>
      <c r="P33"/>
    </row>
    <row r="34" spans="2:16" ht="25.5" customHeight="1" x14ac:dyDescent="0.2">
      <c r="B34" s="15">
        <v>276</v>
      </c>
      <c r="C34" s="66" t="str">
        <f>VLOOKUP( $B34, T_Aop[], 5, 1)</f>
        <v>Promjena na 339, dio</v>
      </c>
      <c r="D34" s="733" t="str">
        <f>VLOOKUP( $B34, T_Aop[], 6, 1)</f>
        <v xml:space="preserve">      2.5 Ostale stavke koje neće biti reklasifikovane u bilans uspjeha</v>
      </c>
      <c r="E34" s="733"/>
      <c r="F34" s="733"/>
      <c r="G34" s="733"/>
      <c r="H34" s="733"/>
      <c r="I34" s="63">
        <f>VLOOKUP( $B34, T_Aop[], 4, 1)</f>
        <v>413</v>
      </c>
      <c r="J34" s="509"/>
      <c r="K34" s="411"/>
      <c r="L34" s="412"/>
      <c r="P34"/>
    </row>
    <row r="35" spans="2:16" ht="12.75" customHeight="1" x14ac:dyDescent="0.2">
      <c r="B35" s="15">
        <v>277</v>
      </c>
      <c r="C35" s="58">
        <f>VLOOKUP( $B35, T_Aop[], 5, 1)</f>
        <v>0</v>
      </c>
      <c r="D35" s="734" t="str">
        <f>VLOOKUP( $B35, T_Aop[], 6, 1)</f>
        <v xml:space="preserve">      2.6 Odloženi porez na dobit koji se odnosi na ove stavke</v>
      </c>
      <c r="E35" s="734"/>
      <c r="F35" s="734"/>
      <c r="G35" s="734"/>
      <c r="H35" s="734"/>
      <c r="I35" s="59">
        <f>VLOOKUP( $B35, T_Aop[], 4, 1)</f>
        <v>414</v>
      </c>
      <c r="J35" s="496"/>
      <c r="K35" s="163"/>
      <c r="L35" s="164"/>
      <c r="P35"/>
    </row>
    <row r="36" spans="2:16" ht="12.75" customHeight="1" x14ac:dyDescent="0.2">
      <c r="B36" s="15">
        <v>278</v>
      </c>
      <c r="C36" s="66">
        <f>VLOOKUP( $B36, T_Aop[], 5, 1)</f>
        <v>0</v>
      </c>
      <c r="D36" s="753" t="str">
        <f>VLOOKUP( $B36, T_Aop[], 6, 1)</f>
        <v xml:space="preserve">  B. OSTALA DOBIT/GUBITAK U PERIODU (± 401 ± 408)</v>
      </c>
      <c r="E36" s="753"/>
      <c r="F36" s="753"/>
      <c r="G36" s="753"/>
      <c r="H36" s="753"/>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52" t="str">
        <f>VLOOKUP( $B37, T_Aop[], 6, 1)</f>
        <v/>
      </c>
      <c r="E37" s="752"/>
      <c r="F37" s="752"/>
      <c r="G37" s="752"/>
      <c r="H37" s="752"/>
      <c r="I37" s="59">
        <f>VLOOKUP( $B37, T_Aop[], 4, 1)</f>
        <v>0</v>
      </c>
      <c r="J37" s="496"/>
      <c r="K37" s="163"/>
      <c r="L37" s="164"/>
      <c r="P37"/>
    </row>
    <row r="38" spans="2:16" ht="16.5" customHeight="1" x14ac:dyDescent="0.2">
      <c r="B38" s="15">
        <v>280</v>
      </c>
      <c r="C38" s="66">
        <f>VLOOKUP( $B38, T_Aop[], 5, 1)</f>
        <v>0</v>
      </c>
      <c r="D38" s="753" t="str">
        <f>VLOOKUP( $B38, T_Aop[], 6, 1)</f>
        <v xml:space="preserve"> V. UKUPNA DOBIT / (GUBITAK) (400± 415)</v>
      </c>
      <c r="E38" s="753"/>
      <c r="F38" s="753"/>
      <c r="G38" s="753"/>
      <c r="H38" s="753"/>
      <c r="I38" s="179">
        <f>VLOOKUP( $B38, T_Aop[], 4, 1)</f>
        <v>416</v>
      </c>
      <c r="J38" s="509"/>
      <c r="K38" s="73">
        <f>SUBTOTAL( 9, K22:K26,K28,K21)-SUBTOTAL( 9, K27)+ SUBTOTAL( 9, K29:K35)</f>
        <v>2476606</v>
      </c>
      <c r="L38" s="74">
        <f>SUBTOTAL( 9, L22:L26,L28,L21)-SUBTOTAL( 9, L27)+ SUBTOTAL( 9, L29:L35)</f>
        <v>754481</v>
      </c>
      <c r="P38" s="27"/>
    </row>
    <row r="39" spans="2:16" ht="12" customHeight="1" x14ac:dyDescent="0.2">
      <c r="B39" s="15">
        <v>281</v>
      </c>
      <c r="C39" s="58">
        <f>VLOOKUP( $B39, T_Aop[], 5, 1)</f>
        <v>0</v>
      </c>
      <c r="D39" s="752" t="str">
        <f>VLOOKUP( $B39, T_Aop[], 6, 1)</f>
        <v xml:space="preserve"> </v>
      </c>
      <c r="E39" s="752"/>
      <c r="F39" s="752"/>
      <c r="G39" s="752"/>
      <c r="H39" s="752"/>
      <c r="I39" s="59">
        <f>VLOOKUP( $B39, T_Aop[], 4, 1)</f>
        <v>0</v>
      </c>
      <c r="J39" s="496"/>
      <c r="K39" s="163"/>
      <c r="L39" s="164"/>
      <c r="P39" s="27"/>
    </row>
    <row r="40" spans="2:16" ht="17.25" customHeight="1" x14ac:dyDescent="0.2">
      <c r="B40" s="15">
        <v>282</v>
      </c>
      <c r="C40" s="66"/>
      <c r="D40" s="733" t="str">
        <f>VLOOKUP( $B40, T_Aop[], 6, 1)</f>
        <v>Dio ukupne dobiti/gubitka koji pripada većinskim vlasnicima</v>
      </c>
      <c r="E40" s="733"/>
      <c r="F40" s="733"/>
      <c r="G40" s="733"/>
      <c r="H40" s="733"/>
      <c r="I40" s="63">
        <f>VLOOKUP( $B40, T_Aop[], 4, 1)</f>
        <v>417</v>
      </c>
      <c r="J40" s="509"/>
      <c r="K40" s="411"/>
      <c r="L40" s="412"/>
      <c r="P40" s="27"/>
    </row>
    <row r="41" spans="2:16" ht="17.25" customHeight="1" x14ac:dyDescent="0.2">
      <c r="B41" s="15">
        <v>283</v>
      </c>
      <c r="C41" s="191">
        <f>VLOOKUP( $B41, T_Aop[], 5, 1)</f>
        <v>0</v>
      </c>
      <c r="D41" s="751" t="str">
        <f>VLOOKUP( $B41, T_Aop[], 6, 1)</f>
        <v>Dio ukupne dobiti/gubitka koji pripada manjinskim vlasnicima</v>
      </c>
      <c r="E41" s="751"/>
      <c r="F41" s="751"/>
      <c r="G41" s="751"/>
      <c r="H41" s="751"/>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31.10.2024.</v>
      </c>
      <c r="E45"/>
      <c r="F45" s="750"/>
      <c r="G45" s="750"/>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3" activePane="bottomLeft" state="frozen"/>
      <selection activeCell="S33" sqref="S33"/>
      <selection pane="bottomLeft" activeCell="K26" sqref="K26"/>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7" t="str">
        <f>Zaglavlje_Naziv_preduzeca</f>
        <v xml:space="preserve">Naziv privrednog društva, zadruge, drugog pravnog lica ili preduzetnika: </v>
      </c>
      <c r="D5" s="647"/>
      <c r="E5" s="647"/>
      <c r="K5" s="9"/>
      <c r="L5" s="391" t="str">
        <f>Podatak_MB</f>
        <v>01814788</v>
      </c>
    </row>
    <row r="6" spans="3:12" ht="10.5" customHeight="1" x14ac:dyDescent="0.2">
      <c r="C6" s="647"/>
      <c r="D6" s="647"/>
      <c r="E6" s="647"/>
      <c r="F6" s="9"/>
      <c r="K6" s="9"/>
      <c r="L6" s="420" t="str">
        <f>Zaglavlje_MB</f>
        <v>Matični broj</v>
      </c>
    </row>
    <row r="7" spans="3:12" ht="9" customHeight="1" x14ac:dyDescent="0.2">
      <c r="C7" s="754" t="str">
        <f>Podatak_Naziv_preduzeca</f>
        <v>Elektrodistribucija a.d. Pale</v>
      </c>
      <c r="D7" s="754"/>
      <c r="E7" s="754"/>
      <c r="F7" s="754"/>
      <c r="K7" s="9"/>
      <c r="L7" s="391" t="str">
        <f>Podatak_Sifra_djelatnosti</f>
        <v>35.13</v>
      </c>
    </row>
    <row r="8" spans="3:12" x14ac:dyDescent="0.2">
      <c r="C8" s="125" t="str">
        <f>Zaglavlje_Sjediste</f>
        <v>Sjedište:</v>
      </c>
      <c r="D8" s="755" t="str">
        <f>Podatak_Sjediste</f>
        <v>Pale</v>
      </c>
      <c r="E8" s="755"/>
      <c r="F8" s="755"/>
      <c r="K8" s="9"/>
      <c r="L8" s="420" t="str">
        <f>Zaglavlje_Sifra_djelatnosti</f>
        <v>Šifra djelatnosti</v>
      </c>
    </row>
    <row r="9" spans="3:12" ht="12.75" customHeight="1" x14ac:dyDescent="0.2">
      <c r="C9" s="666" t="str">
        <f>Zaglavlje_Ziro_racun</f>
        <v>Račun kod ovlašćene organizacije za platni promet:</v>
      </c>
      <c r="D9" s="666"/>
      <c r="E9" s="666"/>
      <c r="F9" s="17"/>
      <c r="K9" s="9"/>
      <c r="L9" s="391" t="str">
        <f>Podatak_JIB</f>
        <v>4400570050004</v>
      </c>
    </row>
    <row r="10" spans="3:12" x14ac:dyDescent="0.2">
      <c r="C10" s="747" t="str">
        <f>Podatak_Ziro_racun_1</f>
        <v>562-012-00002669-48</v>
      </c>
      <c r="D10" s="747"/>
      <c r="E10" s="747"/>
      <c r="F10" s="747"/>
      <c r="K10" s="692" t="str">
        <f>Zaglavlje_JIB</f>
        <v>JIB</v>
      </c>
      <c r="L10" s="692"/>
    </row>
    <row r="11" spans="3:12" ht="10.5" customHeight="1" x14ac:dyDescent="0.2">
      <c r="C11" s="719" t="str">
        <f>Podatak_Ziro_racun_2</f>
        <v>555-002-00004363-23</v>
      </c>
      <c r="D11" s="719"/>
      <c r="E11" s="719"/>
      <c r="F11" s="719"/>
    </row>
    <row r="12" spans="3:12" ht="10.5" customHeight="1" x14ac:dyDescent="0.2">
      <c r="C12" s="747" t="str">
        <f>Podatak_Ziro_racun_3</f>
        <v>567-491-10000002-86</v>
      </c>
      <c r="D12" s="747"/>
      <c r="E12" s="747"/>
      <c r="F12" s="747"/>
    </row>
    <row r="13" spans="3:12" ht="9.75" customHeight="1" x14ac:dyDescent="0.2">
      <c r="C13" s="719" t="str">
        <f>Podatak_Ziro_racun_4</f>
        <v/>
      </c>
      <c r="D13" s="719"/>
      <c r="E13" s="719"/>
      <c r="F13" s="719"/>
      <c r="G13" s="18"/>
      <c r="H13" s="18"/>
      <c r="I13" s="18"/>
      <c r="J13"/>
      <c r="K13"/>
    </row>
    <row r="14" spans="3:12" ht="15.75" x14ac:dyDescent="0.2">
      <c r="C14" s="758" t="str">
        <f>IF( Id_Konsolidovani, Nazivi_bilansa_Konsolidovani_naziv &amp; LOWER( Nazivi_bilansa_BTG), Nazivi_bilansa_BTG)</f>
        <v>Bilans tokova gotovine</v>
      </c>
      <c r="D14" s="758"/>
      <c r="E14" s="758"/>
      <c r="F14" s="758"/>
      <c r="G14" s="758"/>
      <c r="H14" s="758"/>
      <c r="I14" s="758"/>
      <c r="J14" s="758"/>
      <c r="K14" s="758"/>
      <c r="L14" s="758"/>
    </row>
    <row r="15" spans="3:12" x14ac:dyDescent="0.2">
      <c r="C15" s="759" t="str">
        <f>Nazivi_bilansa_BTG1</f>
        <v>(Izvještaj o tokovima gotovine)</v>
      </c>
      <c r="D15" s="759"/>
      <c r="E15" s="759"/>
      <c r="F15" s="759"/>
      <c r="G15" s="759"/>
      <c r="H15" s="759"/>
      <c r="I15" s="759"/>
      <c r="J15" s="759"/>
      <c r="K15" s="759"/>
      <c r="L15" s="759"/>
    </row>
    <row r="16" spans="3:12" x14ac:dyDescent="0.2">
      <c r="C16" s="759" t="str">
        <f>Datumi_Datum_BTG</f>
        <v>za period od 01.01. do 30.09.2024. godine</v>
      </c>
      <c r="D16" s="759"/>
      <c r="E16" s="759"/>
      <c r="F16" s="759"/>
      <c r="G16" s="759"/>
      <c r="H16" s="759"/>
      <c r="I16" s="759"/>
      <c r="J16" s="759"/>
      <c r="K16" s="759"/>
      <c r="L16" s="759"/>
    </row>
    <row r="17" spans="2:16" ht="11.25" customHeight="1" x14ac:dyDescent="0.2">
      <c r="D17" s="18"/>
      <c r="E17" s="18"/>
      <c r="F17" s="18"/>
      <c r="G17" s="18"/>
      <c r="H17" s="18"/>
      <c r="I17" s="18"/>
      <c r="J17" s="18"/>
      <c r="K17" s="46" t="str">
        <f>Tabele_zaglavlje_Valuta</f>
        <v>- u konvertibilnim markama -</v>
      </c>
    </row>
    <row r="18" spans="2:16" x14ac:dyDescent="0.2">
      <c r="C18" s="739" t="str">
        <f>Tabele_zaglavlje_Redni_broj</f>
        <v>Redni broj</v>
      </c>
      <c r="D18" s="741" t="str">
        <f>Tabele_zaglavlje_Pozicija</f>
        <v>POZICIJA</v>
      </c>
      <c r="E18" s="741"/>
      <c r="F18" s="741"/>
      <c r="G18" s="741"/>
      <c r="H18" s="741"/>
      <c r="I18" s="736" t="str">
        <f>Tabele_zaglavlje_Oznaka_aop</f>
        <v>Oznaka za AOP</v>
      </c>
      <c r="J18" s="736" t="str">
        <f>Tabele_zaglavlje_Napomena_aop</f>
        <v>Napomena</v>
      </c>
      <c r="K18" s="725" t="str">
        <f>Tabele_zaglavlje_Iznos</f>
        <v>Iznos</v>
      </c>
      <c r="L18" s="726"/>
    </row>
    <row r="19" spans="2:16" ht="25.5" x14ac:dyDescent="0.2">
      <c r="C19" s="740"/>
      <c r="D19" s="742"/>
      <c r="E19" s="742"/>
      <c r="F19" s="742"/>
      <c r="G19" s="742"/>
      <c r="H19" s="742"/>
      <c r="I19" s="737"/>
      <c r="J19" s="737"/>
      <c r="K19" s="42" t="str">
        <f>Tabele_zaglavlje_Tekuca_godina</f>
        <v>Tekuća godina</v>
      </c>
      <c r="L19" s="43" t="str">
        <f>Tabele_zaglavlje_Prethodna_godina</f>
        <v>Prethodna godina</v>
      </c>
      <c r="P19" s="134" t="s">
        <v>490</v>
      </c>
    </row>
    <row r="20" spans="2:16" x14ac:dyDescent="0.2">
      <c r="B20" s="44" t="s">
        <v>123</v>
      </c>
      <c r="C20" s="69">
        <v>1</v>
      </c>
      <c r="D20" s="743">
        <v>2</v>
      </c>
      <c r="E20" s="743"/>
      <c r="F20" s="743"/>
      <c r="G20" s="743"/>
      <c r="H20" s="743"/>
      <c r="I20" s="70">
        <v>3</v>
      </c>
      <c r="J20" s="70"/>
      <c r="K20" s="461">
        <v>4</v>
      </c>
      <c r="L20" s="462">
        <v>5</v>
      </c>
    </row>
    <row r="21" spans="2:16" ht="24.75" customHeight="1" x14ac:dyDescent="0.2">
      <c r="B21" s="47">
        <v>284</v>
      </c>
      <c r="C21" s="71" t="str">
        <f>VLOOKUP( $B21, T_Aop[], 5, 1)</f>
        <v>A_x000D_
I</v>
      </c>
      <c r="D21" s="764" t="str">
        <f>VLOOKUP( $B21, T_Aop[], 6, 1)</f>
        <v>TOKOVI GOTOVINE IZ POSLOVNIH AKTIVNOSTI 
Prilivi gotovine iz poslovne aktivnosti (502 do 505)</v>
      </c>
      <c r="E21" s="764"/>
      <c r="F21" s="764"/>
      <c r="G21" s="764"/>
      <c r="H21" s="764"/>
      <c r="I21" s="185">
        <f>VLOOKUP( $B21, T_Aop[], 4, 1)</f>
        <v>501</v>
      </c>
      <c r="J21" s="566"/>
      <c r="K21" s="405">
        <f>SUBTOTAL( 9, K22:K25)</f>
        <v>29732519</v>
      </c>
      <c r="L21" s="406">
        <f>SUBTOTAL( 9, L22:L25)</f>
        <v>30547489</v>
      </c>
      <c r="P21" s="27"/>
    </row>
    <row r="22" spans="2:16" ht="12" customHeight="1" x14ac:dyDescent="0.2">
      <c r="B22" s="47">
        <v>285</v>
      </c>
      <c r="C22" s="58" t="str">
        <f>VLOOKUP( $B22, T_Aop[], 5, 1)</f>
        <v>1</v>
      </c>
      <c r="D22" s="734" t="str">
        <f>VLOOKUP( $B22, T_Aop[], 6, 1)</f>
        <v xml:space="preserve">    Prilivi od kupaca i primljeni avansi u zemlji</v>
      </c>
      <c r="E22" s="734"/>
      <c r="F22" s="734"/>
      <c r="G22" s="734"/>
      <c r="H22" s="734"/>
      <c r="I22" s="59">
        <f>VLOOKUP( $B22, T_Aop[], 4, 1)</f>
        <v>502</v>
      </c>
      <c r="J22" s="567"/>
      <c r="K22" s="155">
        <v>29506182</v>
      </c>
      <c r="L22" s="156">
        <v>30388097</v>
      </c>
      <c r="P22" s="27"/>
    </row>
    <row r="23" spans="2:16" ht="12" customHeight="1" x14ac:dyDescent="0.2">
      <c r="B23" s="47">
        <v>286</v>
      </c>
      <c r="C23" s="62" t="str">
        <f>VLOOKUP( $B23, T_Aop[], 5, 1)</f>
        <v>2</v>
      </c>
      <c r="D23" s="757" t="str">
        <f>VLOOKUP( $B23, T_Aop[], 6, 1)</f>
        <v xml:space="preserve">    Prilivi od kupaca i primljeni avansi u inostranstvu</v>
      </c>
      <c r="E23" s="757"/>
      <c r="F23" s="757"/>
      <c r="G23" s="757"/>
      <c r="H23" s="757"/>
      <c r="I23" s="75">
        <f>VLOOKUP( $B23, T_Aop[], 4, 1)</f>
        <v>503</v>
      </c>
      <c r="J23" s="568"/>
      <c r="K23" s="157"/>
      <c r="L23" s="158"/>
      <c r="P23" s="27"/>
    </row>
    <row r="24" spans="2:16" ht="12" customHeight="1" x14ac:dyDescent="0.2">
      <c r="B24" s="47">
        <v>287</v>
      </c>
      <c r="C24" s="58" t="str">
        <f>VLOOKUP( $B24, T_Aop[], 5, 1)</f>
        <v>3</v>
      </c>
      <c r="D24" s="734" t="str">
        <f>VLOOKUP( $B24, T_Aop[], 6, 1)</f>
        <v xml:space="preserve">    Prilivi od premija, subvencija, dotacija i sl.</v>
      </c>
      <c r="E24" s="734"/>
      <c r="F24" s="734"/>
      <c r="G24" s="734"/>
      <c r="H24" s="734"/>
      <c r="I24" s="59">
        <f>VLOOKUP( $B24, T_Aop[], 4, 1)</f>
        <v>504</v>
      </c>
      <c r="J24" s="567"/>
      <c r="K24" s="155"/>
      <c r="L24" s="156"/>
      <c r="P24" s="27"/>
    </row>
    <row r="25" spans="2:16" ht="12" customHeight="1" x14ac:dyDescent="0.2">
      <c r="B25" s="47">
        <v>288</v>
      </c>
      <c r="C25" s="62" t="str">
        <f>VLOOKUP( $B25, T_Aop[], 5, 1)</f>
        <v>4</v>
      </c>
      <c r="D25" s="757" t="str">
        <f>VLOOKUP( $B25, T_Aop[], 6, 1)</f>
        <v xml:space="preserve">    Ostali prilivi iz poslovnih aktivnosti</v>
      </c>
      <c r="E25" s="757"/>
      <c r="F25" s="757"/>
      <c r="G25" s="757"/>
      <c r="H25" s="757"/>
      <c r="I25" s="75">
        <f>VLOOKUP( $B25, T_Aop[], 4, 1)</f>
        <v>505</v>
      </c>
      <c r="J25" s="568"/>
      <c r="K25" s="159">
        <f>228950-2613</f>
        <v>226337</v>
      </c>
      <c r="L25" s="160">
        <v>159392</v>
      </c>
      <c r="P25" s="27"/>
    </row>
    <row r="26" spans="2:16" ht="12" customHeight="1" x14ac:dyDescent="0.2">
      <c r="B26" s="47">
        <v>289</v>
      </c>
      <c r="C26" s="58" t="str">
        <f>VLOOKUP( $B26, T_Aop[], 5, 1)</f>
        <v>II</v>
      </c>
      <c r="D26" s="752" t="str">
        <f>VLOOKUP( $B26, T_Aop[], 6, 1)</f>
        <v xml:space="preserve">    Odlivi gotovine iz poslovnih aktivnosti (507 do 512)</v>
      </c>
      <c r="E26" s="752"/>
      <c r="F26" s="752"/>
      <c r="G26" s="752"/>
      <c r="H26" s="752"/>
      <c r="I26" s="178">
        <f>VLOOKUP( $B26, T_Aop[], 4, 1)</f>
        <v>506</v>
      </c>
      <c r="J26" s="567"/>
      <c r="K26" s="60">
        <f>SUBTOTAL( 9, K27:K32)</f>
        <v>25477182</v>
      </c>
      <c r="L26" s="61">
        <f>SUBTOTAL( 9, L27:L32)</f>
        <v>28387469</v>
      </c>
      <c r="P26" s="27"/>
    </row>
    <row r="27" spans="2:16" ht="12" customHeight="1" x14ac:dyDescent="0.2">
      <c r="B27" s="47">
        <v>290</v>
      </c>
      <c r="C27" s="62" t="str">
        <f>VLOOKUP( $B27, T_Aop[], 5, 1)</f>
        <v>1</v>
      </c>
      <c r="D27" s="757" t="str">
        <f>VLOOKUP( $B27, T_Aop[], 6, 1)</f>
        <v xml:space="preserve">    Odlivi po osnovu isplata dobavljačima i dati avansi u zemlji</v>
      </c>
      <c r="E27" s="757"/>
      <c r="F27" s="757"/>
      <c r="G27" s="757"/>
      <c r="H27" s="757"/>
      <c r="I27" s="75">
        <f>VLOOKUP( $B27, T_Aop[], 4, 1)</f>
        <v>507</v>
      </c>
      <c r="J27" s="568"/>
      <c r="K27" s="157">
        <v>11888293</v>
      </c>
      <c r="L27" s="158">
        <v>15842952</v>
      </c>
      <c r="P27" s="27"/>
    </row>
    <row r="28" spans="2:16" ht="12" customHeight="1" x14ac:dyDescent="0.2">
      <c r="B28" s="47">
        <v>291</v>
      </c>
      <c r="C28" s="58" t="str">
        <f>VLOOKUP( $B28, T_Aop[], 5, 1)</f>
        <v>2</v>
      </c>
      <c r="D28" s="734" t="str">
        <f>VLOOKUP( $B28, T_Aop[], 6, 1)</f>
        <v xml:space="preserve">    Odlivi po osnovu isplata dobavljačima i dati avansi u inostranstvu</v>
      </c>
      <c r="E28" s="734"/>
      <c r="F28" s="734"/>
      <c r="G28" s="734"/>
      <c r="H28" s="734"/>
      <c r="I28" s="59">
        <f>VLOOKUP( $B28, T_Aop[], 4, 1)</f>
        <v>508</v>
      </c>
      <c r="J28" s="567"/>
      <c r="K28" s="155">
        <v>94700</v>
      </c>
      <c r="L28" s="156">
        <v>128491</v>
      </c>
      <c r="P28" s="27"/>
    </row>
    <row r="29" spans="2:16" ht="12" customHeight="1" x14ac:dyDescent="0.2">
      <c r="B29" s="47">
        <v>292</v>
      </c>
      <c r="C29" s="62" t="str">
        <f>VLOOKUP( $B29, T_Aop[], 5, 1)</f>
        <v>3</v>
      </c>
      <c r="D29" s="757" t="str">
        <f>VLOOKUP( $B29, T_Aop[], 6, 1)</f>
        <v xml:space="preserve">    Odlivi po osnovu plaćenih kamata</v>
      </c>
      <c r="E29" s="757"/>
      <c r="F29" s="757"/>
      <c r="G29" s="757"/>
      <c r="H29" s="757"/>
      <c r="I29" s="75">
        <f>VLOOKUP( $B29, T_Aop[], 4, 1)</f>
        <v>509</v>
      </c>
      <c r="J29" s="568"/>
      <c r="K29" s="157">
        <v>201548</v>
      </c>
      <c r="L29" s="158">
        <v>126949</v>
      </c>
      <c r="P29" s="27"/>
    </row>
    <row r="30" spans="2:16" ht="12" customHeight="1" x14ac:dyDescent="0.2">
      <c r="B30" s="47">
        <v>293</v>
      </c>
      <c r="C30" s="58" t="str">
        <f>VLOOKUP( $B30, T_Aop[], 5, 1)</f>
        <v>4</v>
      </c>
      <c r="D30" s="734" t="str">
        <f>VLOOKUP( $B30, T_Aop[], 6, 1)</f>
        <v xml:space="preserve">    Odlivi po osnovu isplata plata, naknada plata i ostalih ličnih rashoda</v>
      </c>
      <c r="E30" s="734"/>
      <c r="F30" s="734"/>
      <c r="G30" s="734"/>
      <c r="H30" s="734"/>
      <c r="I30" s="59">
        <f>VLOOKUP( $B30, T_Aop[], 4, 1)</f>
        <v>510</v>
      </c>
      <c r="J30" s="567"/>
      <c r="K30" s="155">
        <v>10849926</v>
      </c>
      <c r="L30" s="156">
        <v>10040133</v>
      </c>
      <c r="P30" s="27"/>
    </row>
    <row r="31" spans="2:16" ht="12" customHeight="1" x14ac:dyDescent="0.2">
      <c r="B31" s="47">
        <v>294</v>
      </c>
      <c r="C31" s="62" t="str">
        <f>VLOOKUP( $B31, T_Aop[], 5, 1)</f>
        <v>5</v>
      </c>
      <c r="D31" s="757" t="str">
        <f>VLOOKUP( $B31, T_Aop[], 6, 1)</f>
        <v xml:space="preserve">    Odlivi po osnovu poreza na dobit</v>
      </c>
      <c r="E31" s="757"/>
      <c r="F31" s="757"/>
      <c r="G31" s="757"/>
      <c r="H31" s="757"/>
      <c r="I31" s="75">
        <f>VLOOKUP( $B31, T_Aop[], 4, 1)</f>
        <v>511</v>
      </c>
      <c r="J31" s="568"/>
      <c r="K31" s="157">
        <v>169948</v>
      </c>
      <c r="L31" s="158">
        <v>346311</v>
      </c>
      <c r="P31" s="27"/>
    </row>
    <row r="32" spans="2:16" ht="12" customHeight="1" x14ac:dyDescent="0.2">
      <c r="B32" s="47">
        <v>295</v>
      </c>
      <c r="C32" s="58" t="str">
        <f>VLOOKUP( $B32, T_Aop[], 5, 1)</f>
        <v>6</v>
      </c>
      <c r="D32" s="734" t="str">
        <f>VLOOKUP( $B32, T_Aop[], 6, 1)</f>
        <v xml:space="preserve">    Ostali odlivi iz poslovnih aktivnosti</v>
      </c>
      <c r="E32" s="734"/>
      <c r="F32" s="734"/>
      <c r="G32" s="734"/>
      <c r="H32" s="734"/>
      <c r="I32" s="59">
        <f>VLOOKUP( $B32, T_Aop[], 4, 1)</f>
        <v>512</v>
      </c>
      <c r="J32" s="567"/>
      <c r="K32" s="155">
        <v>2272767</v>
      </c>
      <c r="L32" s="156">
        <v>1902633</v>
      </c>
      <c r="P32" s="27"/>
    </row>
    <row r="33" spans="2:16" x14ac:dyDescent="0.2">
      <c r="B33" s="47">
        <v>296</v>
      </c>
      <c r="C33" s="62" t="str">
        <f>VLOOKUP( $B33, T_Aop[], 5, 1)</f>
        <v>III</v>
      </c>
      <c r="D33" s="756" t="str">
        <f>VLOOKUP( $B33, T_Aop[], 6, 1)</f>
        <v xml:space="preserve">  Neto priliv gotovine iz poslovnih aktivnosti (501 – 506)</v>
      </c>
      <c r="E33" s="756"/>
      <c r="F33" s="756"/>
      <c r="G33" s="756"/>
      <c r="H33" s="756"/>
      <c r="I33" s="189">
        <f>VLOOKUP( $B33, T_Aop[], 4, 1)</f>
        <v>513</v>
      </c>
      <c r="J33" s="568"/>
      <c r="K33" s="67">
        <f>IF( SUBTOTAL( 9, K21:K25) - SUBTOTAL( 9, K26:K32) &lt;= 0, 0, ABS( SUBTOTAL( 9, K21:K25) - SUBTOTAL( 9, K26:K32)) )</f>
        <v>4255337</v>
      </c>
      <c r="L33" s="68">
        <f>IF( SUBTOTAL( 9, L21:L25) - SUBTOTAL( 9, L26:L32) &lt;= 0, 0, ABS( SUBTOTAL( 9, L21:L25) - SUBTOTAL( 9, L26:L32)) )</f>
        <v>2160020</v>
      </c>
      <c r="P33" s="27"/>
    </row>
    <row r="34" spans="2:16" x14ac:dyDescent="0.2">
      <c r="B34" s="47">
        <v>297</v>
      </c>
      <c r="C34" s="58" t="str">
        <f>VLOOKUP( $B34, T_Aop[], 5, 1)</f>
        <v>IV</v>
      </c>
      <c r="D34" s="752" t="str">
        <f>VLOOKUP( $B34, T_Aop[], 6, 1)</f>
        <v xml:space="preserve">  Neto odliv gotovine iz poslovnih aktivnosti (506 – 501)</v>
      </c>
      <c r="E34" s="752"/>
      <c r="F34" s="752"/>
      <c r="G34" s="752"/>
      <c r="H34" s="752"/>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6" t="str">
        <f>VLOOKUP( $B35, T_Aop[], 6, 1)</f>
        <v>TOKOVI GOTOVINE IZ AKTIVNOSTI INVESTIRANJA
Prilivi gotovine iz aktivnosti investiranja (516 do 530)</v>
      </c>
      <c r="E35" s="756"/>
      <c r="F35" s="756"/>
      <c r="G35" s="756"/>
      <c r="H35" s="756"/>
      <c r="I35" s="189">
        <f>VLOOKUP( $B35, T_Aop[], 4, 1)</f>
        <v>515</v>
      </c>
      <c r="J35" s="568"/>
      <c r="K35" s="67">
        <f>SUBTOTAL( 9, K36:K50)</f>
        <v>18655</v>
      </c>
      <c r="L35" s="68">
        <f>SUBTOTAL( 9, L36:L50)</f>
        <v>24239</v>
      </c>
      <c r="P35" s="27"/>
    </row>
    <row r="36" spans="2:16" ht="21" customHeight="1" x14ac:dyDescent="0.2">
      <c r="B36" s="47">
        <v>299</v>
      </c>
      <c r="C36" s="58" t="str">
        <f>VLOOKUP( $B36, T_Aop[], 5, 1)</f>
        <v>1</v>
      </c>
      <c r="D36" s="734" t="str">
        <f>VLOOKUP( $B36, T_Aop[], 6, 1)</f>
        <v xml:space="preserve">    Prilivi gotovine po osnovu prodaje akcija i udjela zavisnih i pridruženih društava i zajedničkih poduhvata</v>
      </c>
      <c r="E36" s="734"/>
      <c r="F36" s="734"/>
      <c r="G36" s="734"/>
      <c r="H36" s="734"/>
      <c r="I36" s="59">
        <f>VLOOKUP( $B36, T_Aop[], 4, 1)</f>
        <v>516</v>
      </c>
      <c r="J36" s="567"/>
      <c r="K36" s="155"/>
      <c r="L36" s="156"/>
      <c r="P36" s="27"/>
    </row>
    <row r="37" spans="2:16" ht="12" customHeight="1" x14ac:dyDescent="0.2">
      <c r="B37" s="47">
        <v>300</v>
      </c>
      <c r="C37" s="62" t="str">
        <f>VLOOKUP( $B37, T_Aop[], 5, 1)</f>
        <v>2</v>
      </c>
      <c r="D37" s="757" t="str">
        <f>VLOOKUP( $B37, T_Aop[], 6, 1)</f>
        <v xml:space="preserve">    Prilivi po osnovu prodaje nekretnina, postrojenja i opreme</v>
      </c>
      <c r="E37" s="757"/>
      <c r="F37" s="757"/>
      <c r="G37" s="757"/>
      <c r="H37" s="757"/>
      <c r="I37" s="75">
        <f>VLOOKUP( $B37, T_Aop[], 4, 1)</f>
        <v>517</v>
      </c>
      <c r="J37" s="568"/>
      <c r="K37" s="159"/>
      <c r="L37" s="160"/>
      <c r="P37" s="27"/>
    </row>
    <row r="38" spans="2:16" ht="12" customHeight="1" x14ac:dyDescent="0.2">
      <c r="B38" s="47">
        <v>301</v>
      </c>
      <c r="C38" s="58" t="str">
        <f>VLOOKUP( $B38, T_Aop[], 5, 1)</f>
        <v>3</v>
      </c>
      <c r="D38" s="734" t="str">
        <f>VLOOKUP( $B38, T_Aop[], 6, 1)</f>
        <v xml:space="preserve">    Prilivi po osnovu prodaje investicionih nekretnina</v>
      </c>
      <c r="E38" s="734"/>
      <c r="F38" s="734"/>
      <c r="G38" s="734"/>
      <c r="H38" s="734"/>
      <c r="I38" s="59">
        <f>VLOOKUP( $B38, T_Aop[], 4, 1)</f>
        <v>518</v>
      </c>
      <c r="J38" s="567"/>
      <c r="K38" s="155"/>
      <c r="L38" s="156"/>
      <c r="P38" s="133" t="s">
        <v>313</v>
      </c>
    </row>
    <row r="39" spans="2:16" ht="12" customHeight="1" x14ac:dyDescent="0.2">
      <c r="B39" s="47">
        <v>302</v>
      </c>
      <c r="C39" s="62" t="str">
        <f>VLOOKUP( $B39, T_Aop[], 5, 1)</f>
        <v>4</v>
      </c>
      <c r="D39" s="757" t="str">
        <f>VLOOKUP( $B39, T_Aop[], 6, 1)</f>
        <v xml:space="preserve">    Prilivi po osnovu prodaje bioloških sredstava</v>
      </c>
      <c r="E39" s="757"/>
      <c r="F39" s="757"/>
      <c r="G39" s="757"/>
      <c r="H39" s="757"/>
      <c r="I39" s="75">
        <f>VLOOKUP( $B39, T_Aop[], 4, 1)</f>
        <v>519</v>
      </c>
      <c r="J39" s="568"/>
      <c r="K39" s="159"/>
      <c r="L39" s="160"/>
      <c r="P39" s="27"/>
    </row>
    <row r="40" spans="2:16" ht="12" customHeight="1" x14ac:dyDescent="0.2">
      <c r="B40" s="47">
        <v>303</v>
      </c>
      <c r="C40" s="58" t="str">
        <f>VLOOKUP( $B40, T_Aop[], 5, 1)</f>
        <v>5</v>
      </c>
      <c r="D40" s="734" t="str">
        <f>VLOOKUP( $B40, T_Aop[], 6, 1)</f>
        <v xml:space="preserve">    Prilivi po osnovu prodaje nematerijalnih sredstava</v>
      </c>
      <c r="E40" s="734"/>
      <c r="F40" s="734"/>
      <c r="G40" s="734"/>
      <c r="H40" s="734"/>
      <c r="I40" s="59">
        <f>VLOOKUP( $B40, T_Aop[], 4, 1)</f>
        <v>520</v>
      </c>
      <c r="J40" s="567"/>
      <c r="K40" s="155"/>
      <c r="L40" s="156"/>
      <c r="P40" s="27"/>
    </row>
    <row r="41" spans="2:16" ht="12" customHeight="1" x14ac:dyDescent="0.2">
      <c r="B41" s="47">
        <v>304</v>
      </c>
      <c r="C41" s="62" t="str">
        <f>VLOOKUP( $B41, T_Aop[], 5, 1)</f>
        <v>6</v>
      </c>
      <c r="D41" s="757" t="str">
        <f>VLOOKUP( $B41, T_Aop[], 6, 1)</f>
        <v xml:space="preserve">    Prilivi po osnovu prodaje stalnih sredstava namijenjenih prodaji</v>
      </c>
      <c r="E41" s="757"/>
      <c r="F41" s="757"/>
      <c r="G41" s="757"/>
      <c r="H41" s="757"/>
      <c r="I41" s="75">
        <f>VLOOKUP( $B41, T_Aop[], 4, 1)</f>
        <v>521</v>
      </c>
      <c r="J41" s="568"/>
      <c r="K41" s="159"/>
      <c r="L41" s="160">
        <v>9091</v>
      </c>
      <c r="P41" s="27"/>
    </row>
    <row r="42" spans="2:16" ht="12" customHeight="1" x14ac:dyDescent="0.2">
      <c r="B42" s="47">
        <v>305</v>
      </c>
      <c r="C42" s="58" t="str">
        <f>VLOOKUP( $B42, T_Aop[], 5, 1)</f>
        <v>7</v>
      </c>
      <c r="D42" s="734" t="str">
        <f>VLOOKUP( $B42, T_Aop[], 6, 1)</f>
        <v xml:space="preserve">    Prilivi od finansijskih sredstava po fer vrijednosti kroz ostali ukupni rezultat</v>
      </c>
      <c r="E42" s="734"/>
      <c r="F42" s="734"/>
      <c r="G42" s="734"/>
      <c r="H42" s="734"/>
      <c r="I42" s="59">
        <f>VLOOKUP( $B42, T_Aop[], 4, 1)</f>
        <v>522</v>
      </c>
      <c r="J42" s="567"/>
      <c r="K42" s="155"/>
      <c r="L42" s="156"/>
      <c r="P42" s="27"/>
    </row>
    <row r="43" spans="2:16" ht="12" customHeight="1" x14ac:dyDescent="0.2">
      <c r="B43" s="47">
        <v>306</v>
      </c>
      <c r="C43" s="62" t="str">
        <f>VLOOKUP( $B43, T_Aop[], 5, 1)</f>
        <v>8</v>
      </c>
      <c r="D43" s="757" t="str">
        <f>VLOOKUP( $B43, T_Aop[], 6, 1)</f>
        <v xml:space="preserve">    Prilivi od finansijskih sredstva po fer vrijednosti kroz bilans uspjeha</v>
      </c>
      <c r="E43" s="757"/>
      <c r="F43" s="757"/>
      <c r="G43" s="757"/>
      <c r="H43" s="757"/>
      <c r="I43" s="75">
        <f>VLOOKUP( $B43, T_Aop[], 4, 1)</f>
        <v>523</v>
      </c>
      <c r="J43" s="568"/>
      <c r="K43" s="159"/>
      <c r="L43" s="160"/>
      <c r="P43" s="27"/>
    </row>
    <row r="44" spans="2:16" ht="12" customHeight="1" x14ac:dyDescent="0.2">
      <c r="B44" s="47">
        <v>307</v>
      </c>
      <c r="C44" s="58" t="str">
        <f>VLOOKUP( $B44, T_Aop[], 5, 1)</f>
        <v>9</v>
      </c>
      <c r="D44" s="734" t="str">
        <f>VLOOKUP( $B44, T_Aop[], 6, 1)</f>
        <v xml:space="preserve">    Prilivi od ostalih finansijskih sredstava po amortizovanoj vrijednosti</v>
      </c>
      <c r="E44" s="734"/>
      <c r="F44" s="734"/>
      <c r="G44" s="734"/>
      <c r="H44" s="734"/>
      <c r="I44" s="59">
        <f>VLOOKUP( $B44, T_Aop[], 4, 1)</f>
        <v>524</v>
      </c>
      <c r="J44" s="567"/>
      <c r="K44" s="155"/>
      <c r="L44" s="156"/>
      <c r="P44" s="27"/>
    </row>
    <row r="45" spans="2:16" ht="12" customHeight="1" x14ac:dyDescent="0.2">
      <c r="B45" s="47">
        <v>308</v>
      </c>
      <c r="C45" s="62" t="str">
        <f>VLOOKUP( $B45, T_Aop[], 5, 1)</f>
        <v>10</v>
      </c>
      <c r="D45" s="757" t="str">
        <f>VLOOKUP( $B45, T_Aop[], 6, 1)</f>
        <v xml:space="preserve">    Prilivi po osnovu lizinga (glavnica)</v>
      </c>
      <c r="E45" s="757"/>
      <c r="F45" s="757"/>
      <c r="G45" s="757"/>
      <c r="H45" s="757"/>
      <c r="I45" s="75">
        <f>VLOOKUP( $B45, T_Aop[], 4, 1)</f>
        <v>525</v>
      </c>
      <c r="J45" s="568"/>
      <c r="K45" s="159"/>
      <c r="L45" s="160"/>
      <c r="P45" s="133" t="s">
        <v>313</v>
      </c>
    </row>
    <row r="46" spans="2:16" ht="12" customHeight="1" x14ac:dyDescent="0.2">
      <c r="B46" s="47">
        <v>309</v>
      </c>
      <c r="C46" s="58" t="str">
        <f>VLOOKUP( $B46, T_Aop[], 5, 1)</f>
        <v>11</v>
      </c>
      <c r="D46" s="734" t="str">
        <f>VLOOKUP( $B46, T_Aop[], 6, 1)</f>
        <v xml:space="preserve">    Prilivi po osnovu lizinga (kamata)</v>
      </c>
      <c r="E46" s="734"/>
      <c r="F46" s="734"/>
      <c r="G46" s="734"/>
      <c r="H46" s="734"/>
      <c r="I46" s="59">
        <f>VLOOKUP( $B46, T_Aop[], 4, 1)</f>
        <v>526</v>
      </c>
      <c r="J46" s="567"/>
      <c r="K46" s="155"/>
      <c r="L46" s="156"/>
      <c r="P46" s="27"/>
    </row>
    <row r="47" spans="2:16" ht="12" customHeight="1" x14ac:dyDescent="0.2">
      <c r="B47" s="47">
        <v>310</v>
      </c>
      <c r="C47" s="62" t="str">
        <f>VLOOKUP( $B47, T_Aop[], 5, 1)</f>
        <v>12</v>
      </c>
      <c r="D47" s="757" t="str">
        <f>VLOOKUP( $B47, T_Aop[], 6, 1)</f>
        <v xml:space="preserve">    Prilivi po osnovu kamata</v>
      </c>
      <c r="E47" s="757"/>
      <c r="F47" s="757"/>
      <c r="G47" s="757"/>
      <c r="H47" s="757"/>
      <c r="I47" s="75">
        <f>VLOOKUP( $B47, T_Aop[], 4, 1)</f>
        <v>527</v>
      </c>
      <c r="J47" s="568"/>
      <c r="K47" s="159">
        <v>18655</v>
      </c>
      <c r="L47" s="160">
        <v>15148</v>
      </c>
      <c r="P47" s="27"/>
    </row>
    <row r="48" spans="2:16" ht="12" customHeight="1" x14ac:dyDescent="0.2">
      <c r="B48" s="47">
        <v>311</v>
      </c>
      <c r="C48" s="58" t="str">
        <f>VLOOKUP( $B48, T_Aop[], 5, 1)</f>
        <v>13</v>
      </c>
      <c r="D48" s="734" t="str">
        <f>VLOOKUP( $B48, T_Aop[], 6, 1)</f>
        <v xml:space="preserve">    Prilivi od dividendi i učešća u dobiti</v>
      </c>
      <c r="E48" s="734"/>
      <c r="F48" s="734"/>
      <c r="G48" s="734"/>
      <c r="H48" s="734"/>
      <c r="I48" s="59">
        <f>VLOOKUP( $B48, T_Aop[], 4, 1)</f>
        <v>528</v>
      </c>
      <c r="J48" s="567"/>
      <c r="K48" s="155"/>
      <c r="L48" s="156"/>
      <c r="P48" s="27"/>
    </row>
    <row r="49" spans="2:16" ht="12" customHeight="1" x14ac:dyDescent="0.2">
      <c r="B49" s="47">
        <v>312</v>
      </c>
      <c r="C49" s="62" t="str">
        <f>VLOOKUP( $B49, T_Aop[], 5, 1)</f>
        <v>14</v>
      </c>
      <c r="D49" s="757" t="str">
        <f>VLOOKUP( $B49, T_Aop[], 6, 1)</f>
        <v xml:space="preserve">    Prilivi po osnovu derivatnih finansijskih instrumenata</v>
      </c>
      <c r="E49" s="757"/>
      <c r="F49" s="757"/>
      <c r="G49" s="757"/>
      <c r="H49" s="757"/>
      <c r="I49" s="75">
        <f>VLOOKUP( $B49, T_Aop[], 4, 1)</f>
        <v>529</v>
      </c>
      <c r="J49" s="568"/>
      <c r="K49" s="159"/>
      <c r="L49" s="160"/>
      <c r="P49" s="27"/>
    </row>
    <row r="50" spans="2:16" ht="12" customHeight="1" x14ac:dyDescent="0.2">
      <c r="B50" s="47">
        <v>313</v>
      </c>
      <c r="C50" s="58" t="str">
        <f>VLOOKUP( $B50, T_Aop[], 5, 1)</f>
        <v>15</v>
      </c>
      <c r="D50" s="734" t="str">
        <f>VLOOKUP( $B50, T_Aop[], 6, 1)</f>
        <v xml:space="preserve">    Ostali prilivi iz aktivnosti investiranja</v>
      </c>
      <c r="E50" s="734"/>
      <c r="F50" s="734"/>
      <c r="G50" s="734"/>
      <c r="H50" s="734"/>
      <c r="I50" s="59">
        <f>VLOOKUP( $B50, T_Aop[], 4, 1)</f>
        <v>530</v>
      </c>
      <c r="J50" s="567"/>
      <c r="K50" s="155"/>
      <c r="L50" s="156"/>
      <c r="P50" s="27"/>
    </row>
    <row r="51" spans="2:16" ht="12" customHeight="1" x14ac:dyDescent="0.2">
      <c r="B51" s="47">
        <v>314</v>
      </c>
      <c r="C51" s="62" t="str">
        <f>VLOOKUP( $B51, T_Aop[], 5, 1)</f>
        <v>II</v>
      </c>
      <c r="D51" s="756" t="str">
        <f>VLOOKUP( $B51, T_Aop[], 6, 1)</f>
        <v xml:space="preserve">  Odlivi gotovine iz aktivnosti investiranja (532 do 541)</v>
      </c>
      <c r="E51" s="756"/>
      <c r="F51" s="756"/>
      <c r="G51" s="756"/>
      <c r="H51" s="756"/>
      <c r="I51" s="189">
        <f>VLOOKUP( $B51, T_Aop[], 4, 1)</f>
        <v>531</v>
      </c>
      <c r="J51" s="568"/>
      <c r="K51" s="64">
        <f>SUBTOTAL( 9, K52:K61)</f>
        <v>3594024</v>
      </c>
      <c r="L51" s="65">
        <f>SUBTOTAL( 9, L52:L61)</f>
        <v>1657707</v>
      </c>
      <c r="P51" s="27"/>
    </row>
    <row r="52" spans="2:16" ht="23.25" customHeight="1" x14ac:dyDescent="0.2">
      <c r="B52" s="47">
        <v>315</v>
      </c>
      <c r="C52" s="58" t="str">
        <f>VLOOKUP( $B52, T_Aop[], 5, 1)</f>
        <v>1</v>
      </c>
      <c r="D52" s="734" t="str">
        <f>VLOOKUP( $B52, T_Aop[], 6, 1)</f>
        <v xml:space="preserve">    Odlivi gotovine po osnovu kupovine akcija i udjela zavisnih i pridruženih društava i zajedničkih poduhvata</v>
      </c>
      <c r="E52" s="734"/>
      <c r="F52" s="734"/>
      <c r="G52" s="734"/>
      <c r="H52" s="734"/>
      <c r="I52" s="59">
        <f>VLOOKUP( $B52, T_Aop[], 4, 1)</f>
        <v>532</v>
      </c>
      <c r="J52" s="567"/>
      <c r="K52" s="155"/>
      <c r="L52" s="156"/>
      <c r="P52" s="27"/>
    </row>
    <row r="53" spans="2:16" ht="12" customHeight="1" x14ac:dyDescent="0.2">
      <c r="B53" s="47">
        <v>316</v>
      </c>
      <c r="C53" s="62" t="str">
        <f>VLOOKUP( $B53, T_Aop[], 5, 1)</f>
        <v>2</v>
      </c>
      <c r="D53" s="757" t="str">
        <f>VLOOKUP( $B53, T_Aop[], 6, 1)</f>
        <v xml:space="preserve">    Odlivi po osnovu kupovine nekretnina, postrojenja i opreme</v>
      </c>
      <c r="E53" s="757"/>
      <c r="F53" s="757"/>
      <c r="G53" s="757"/>
      <c r="H53" s="757"/>
      <c r="I53" s="75">
        <f>VLOOKUP( $B53, T_Aop[], 4, 1)</f>
        <v>533</v>
      </c>
      <c r="J53" s="568"/>
      <c r="K53" s="159">
        <v>3594024</v>
      </c>
      <c r="L53" s="160">
        <v>1477551</v>
      </c>
      <c r="P53" s="27"/>
    </row>
    <row r="54" spans="2:16" ht="12" customHeight="1" x14ac:dyDescent="0.2">
      <c r="B54" s="47">
        <v>317</v>
      </c>
      <c r="C54" s="58" t="str">
        <f>VLOOKUP( $B54, T_Aop[], 5, 1)</f>
        <v>3</v>
      </c>
      <c r="D54" s="734" t="str">
        <f>VLOOKUP( $B54, T_Aop[], 6, 1)</f>
        <v xml:space="preserve">    Odlivi po osnovu kupovine investicionih nekretnina</v>
      </c>
      <c r="E54" s="734"/>
      <c r="F54" s="734"/>
      <c r="G54" s="734"/>
      <c r="H54" s="734"/>
      <c r="I54" s="59">
        <f>VLOOKUP( $B54, T_Aop[], 4, 1)</f>
        <v>534</v>
      </c>
      <c r="J54" s="567"/>
      <c r="K54" s="155"/>
      <c r="L54" s="156"/>
      <c r="P54" s="27"/>
    </row>
    <row r="55" spans="2:16" ht="12" customHeight="1" x14ac:dyDescent="0.2">
      <c r="B55" s="47">
        <v>318</v>
      </c>
      <c r="C55" s="62" t="str">
        <f>VLOOKUP( $B55, T_Aop[], 5, 1)</f>
        <v>4</v>
      </c>
      <c r="D55" s="757" t="str">
        <f>VLOOKUP( $B55, T_Aop[], 6, 1)</f>
        <v xml:space="preserve">    Odlivi po osnovu kupovine bioloških sredstava</v>
      </c>
      <c r="E55" s="757"/>
      <c r="F55" s="757"/>
      <c r="G55" s="757"/>
      <c r="H55" s="757"/>
      <c r="I55" s="75">
        <f>VLOOKUP( $B55, T_Aop[], 4, 1)</f>
        <v>535</v>
      </c>
      <c r="J55" s="568"/>
      <c r="K55" s="159"/>
      <c r="L55" s="160"/>
      <c r="P55" s="27"/>
    </row>
    <row r="56" spans="2:16" ht="12" customHeight="1" x14ac:dyDescent="0.2">
      <c r="B56" s="47">
        <v>319</v>
      </c>
      <c r="C56" s="58" t="str">
        <f>VLOOKUP( $B56, T_Aop[], 5, 1)</f>
        <v>5</v>
      </c>
      <c r="D56" s="734" t="str">
        <f>VLOOKUP( $B56, T_Aop[], 6, 1)</f>
        <v xml:space="preserve">    Odlivi po osnovu kupovine nematerijalnih sredstava</v>
      </c>
      <c r="E56" s="734"/>
      <c r="F56" s="734"/>
      <c r="G56" s="734"/>
      <c r="H56" s="734"/>
      <c r="I56" s="59">
        <f>VLOOKUP( $B56, T_Aop[], 4, 1)</f>
        <v>536</v>
      </c>
      <c r="J56" s="567"/>
      <c r="K56" s="155"/>
      <c r="L56" s="156"/>
      <c r="P56" s="27"/>
    </row>
    <row r="57" spans="2:16" ht="12" customHeight="1" x14ac:dyDescent="0.2">
      <c r="B57" s="47">
        <v>320</v>
      </c>
      <c r="C57" s="62" t="str">
        <f>VLOOKUP( $B57, T_Aop[], 5, 1)</f>
        <v>6</v>
      </c>
      <c r="D57" s="757" t="str">
        <f>VLOOKUP( $B57, T_Aop[], 6, 1)</f>
        <v xml:space="preserve">    Odlivi po osnovu finansijskih sredstava po fer vrijednosti kroz ostali ukupni rezultat</v>
      </c>
      <c r="E57" s="757"/>
      <c r="F57" s="757"/>
      <c r="G57" s="757"/>
      <c r="H57" s="757"/>
      <c r="I57" s="75">
        <f>VLOOKUP( $B57, T_Aop[], 4, 1)</f>
        <v>537</v>
      </c>
      <c r="J57" s="568"/>
      <c r="K57" s="159"/>
      <c r="L57" s="160"/>
      <c r="P57" s="27"/>
    </row>
    <row r="58" spans="2:16" ht="12" customHeight="1" x14ac:dyDescent="0.2">
      <c r="B58" s="47">
        <v>321</v>
      </c>
      <c r="C58" s="58" t="str">
        <f>VLOOKUP( $B58, T_Aop[], 5, 1)</f>
        <v>7</v>
      </c>
      <c r="D58" s="734" t="str">
        <f>VLOOKUP( $B58, T_Aop[], 6, 1)</f>
        <v xml:space="preserve">    Odlivi po osnovu finansijskih sredstva po fer vrijednosti kroz bilans uspjeha</v>
      </c>
      <c r="E58" s="734"/>
      <c r="F58" s="734"/>
      <c r="G58" s="734"/>
      <c r="H58" s="734"/>
      <c r="I58" s="59">
        <f>VLOOKUP( $B58, T_Aop[], 4, 1)</f>
        <v>538</v>
      </c>
      <c r="J58" s="567"/>
      <c r="K58" s="155"/>
      <c r="L58" s="156"/>
      <c r="P58" s="27"/>
    </row>
    <row r="59" spans="2:16" ht="12" customHeight="1" x14ac:dyDescent="0.2">
      <c r="B59" s="47">
        <v>322</v>
      </c>
      <c r="C59" s="62" t="str">
        <f>VLOOKUP( $B59, T_Aop[], 5, 1)</f>
        <v>8</v>
      </c>
      <c r="D59" s="757" t="str">
        <f>VLOOKUP( $B59, T_Aop[], 6, 1)</f>
        <v xml:space="preserve">    Odlivi po osnovu ostalih finansijskih sredstava po amortizovanoj vrijednosti</v>
      </c>
      <c r="E59" s="757"/>
      <c r="F59" s="757"/>
      <c r="G59" s="757"/>
      <c r="H59" s="757"/>
      <c r="I59" s="75">
        <f>VLOOKUP( $B59, T_Aop[], 4, 1)</f>
        <v>539</v>
      </c>
      <c r="J59" s="568"/>
      <c r="K59" s="159"/>
      <c r="L59" s="160"/>
      <c r="P59" s="27"/>
    </row>
    <row r="60" spans="2:16" ht="12" customHeight="1" x14ac:dyDescent="0.2">
      <c r="B60" s="47">
        <v>323</v>
      </c>
      <c r="C60" s="58" t="str">
        <f>VLOOKUP( $B60, T_Aop[], 5, 1)</f>
        <v>9</v>
      </c>
      <c r="D60" s="734" t="str">
        <f>VLOOKUP( $B60, T_Aop[], 6, 1)</f>
        <v xml:space="preserve">    Odlivi po osnovu derivatnih finansijskih instrumenata</v>
      </c>
      <c r="E60" s="734"/>
      <c r="F60" s="734"/>
      <c r="G60" s="734"/>
      <c r="H60" s="734"/>
      <c r="I60" s="59">
        <f>VLOOKUP( $B60, T_Aop[], 4, 1)</f>
        <v>540</v>
      </c>
      <c r="J60" s="567"/>
      <c r="K60" s="155"/>
      <c r="L60" s="156"/>
      <c r="P60" s="27"/>
    </row>
    <row r="61" spans="2:16" ht="12" customHeight="1" x14ac:dyDescent="0.2">
      <c r="B61" s="47">
        <v>324</v>
      </c>
      <c r="C61" s="62" t="str">
        <f>VLOOKUP( $B61, T_Aop[], 5, 1)</f>
        <v>10</v>
      </c>
      <c r="D61" s="757" t="str">
        <f>VLOOKUP( $B61, T_Aop[], 6, 1)</f>
        <v xml:space="preserve">    Ostali odlivi iz aktivnosti investiranja</v>
      </c>
      <c r="E61" s="757"/>
      <c r="F61" s="757"/>
      <c r="G61" s="757"/>
      <c r="H61" s="757"/>
      <c r="I61" s="75">
        <f>VLOOKUP( $B61, T_Aop[], 4, 1)</f>
        <v>541</v>
      </c>
      <c r="J61" s="568"/>
      <c r="K61" s="159"/>
      <c r="L61" s="160">
        <v>180156</v>
      </c>
      <c r="P61" s="27"/>
    </row>
    <row r="62" spans="2:16" x14ac:dyDescent="0.2">
      <c r="B62" s="47">
        <v>325</v>
      </c>
      <c r="C62" s="58" t="str">
        <f>VLOOKUP( $B62, T_Aop[], 5, 1)</f>
        <v>III</v>
      </c>
      <c r="D62" s="752" t="str">
        <f>VLOOKUP( $B62, T_Aop[], 6, 1)</f>
        <v xml:space="preserve">  Neto priliv gotovine iz aktivnosti investiranja (515-531)</v>
      </c>
      <c r="E62" s="752"/>
      <c r="F62" s="752"/>
      <c r="G62" s="752"/>
      <c r="H62" s="752"/>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6" t="str">
        <f>VLOOKUP( $B63, T_Aop[], 6, 1)</f>
        <v xml:space="preserve">  Neto odliv gotovine iz aktivnosti investiranja (531 – 515)</v>
      </c>
      <c r="E63" s="756"/>
      <c r="F63" s="756"/>
      <c r="G63" s="756"/>
      <c r="H63" s="756"/>
      <c r="I63" s="189">
        <f>VLOOKUP( $B63, T_Aop[], 4, 1)</f>
        <v>543</v>
      </c>
      <c r="J63" s="568"/>
      <c r="K63" s="67">
        <f>IF( SUBTOTAL( 9, K35:K50) - SUBTOTAL( 9, K51:K61) &gt;= 0, 0, ABS( SUBTOTAL( 9, K35:K50) - SUBTOTAL( 9, K51:K61)) )</f>
        <v>3575369</v>
      </c>
      <c r="L63" s="68">
        <f>IF( SUBTOTAL( 9, L35:L50) - SUBTOTAL( 9, L51:L61) &gt;= 0, 0, ABS( SUBTOTAL( 9, L35:L50) - SUBTOTAL( 9, L51:L61)) )</f>
        <v>1633468</v>
      </c>
      <c r="P63" s="27"/>
    </row>
    <row r="64" spans="2:16" ht="22.5" customHeight="1" x14ac:dyDescent="0.2">
      <c r="B64" s="47">
        <v>327</v>
      </c>
      <c r="C64" s="58" t="str">
        <f>VLOOKUP( $B64, T_Aop[], 5, 1)</f>
        <v>B_x000D_
I</v>
      </c>
      <c r="D64" s="752" t="str">
        <f>VLOOKUP( $B64, T_Aop[], 6, 1)</f>
        <v>TOKOVI GOTOVINE IZ AKTIVNOSTI FINANSIRANJA
Prilivi gotovine iz aktivnosti finansiranja (545 do 550)</v>
      </c>
      <c r="E64" s="752"/>
      <c r="F64" s="752"/>
      <c r="G64" s="752"/>
      <c r="H64" s="752"/>
      <c r="I64" s="178">
        <f>VLOOKUP( $B64, T_Aop[], 4, 1)</f>
        <v>544</v>
      </c>
      <c r="J64" s="567"/>
      <c r="K64" s="60">
        <f>SUBTOTAL( 9, K65:K70)</f>
        <v>47466</v>
      </c>
      <c r="L64" s="61">
        <f>SUBTOTAL( 9, L65:L70)</f>
        <v>1308621</v>
      </c>
      <c r="P64" s="27"/>
    </row>
    <row r="65" spans="2:16" ht="12" customHeight="1" x14ac:dyDescent="0.2">
      <c r="B65" s="47">
        <v>328</v>
      </c>
      <c r="C65" s="62" t="str">
        <f>VLOOKUP( $B65, T_Aop[], 5, 1)</f>
        <v>1</v>
      </c>
      <c r="D65" s="757" t="str">
        <f>VLOOKUP( $B65, T_Aop[], 6, 1)</f>
        <v xml:space="preserve">    Prilivi po osnovu povećanja osnovnog kapitala</v>
      </c>
      <c r="E65" s="757"/>
      <c r="F65" s="757"/>
      <c r="G65" s="757"/>
      <c r="H65" s="757"/>
      <c r="I65" s="75">
        <f>VLOOKUP( $B65, T_Aop[], 4, 1)</f>
        <v>545</v>
      </c>
      <c r="J65" s="568"/>
      <c r="K65" s="159"/>
      <c r="L65" s="160"/>
      <c r="P65" s="27"/>
    </row>
    <row r="66" spans="2:16" ht="12" customHeight="1" x14ac:dyDescent="0.2">
      <c r="B66" s="47">
        <v>329</v>
      </c>
      <c r="C66" s="58" t="str">
        <f>VLOOKUP( $B66, T_Aop[], 5, 1)</f>
        <v>2</v>
      </c>
      <c r="D66" s="734" t="str">
        <f>VLOOKUP( $B66, T_Aop[], 6, 1)</f>
        <v xml:space="preserve">    Prilivi od prodaje otkupljenih sopstvenih akcija</v>
      </c>
      <c r="E66" s="734"/>
      <c r="F66" s="734"/>
      <c r="G66" s="734"/>
      <c r="H66" s="734"/>
      <c r="I66" s="59">
        <f>VLOOKUP( $B66, T_Aop[], 4, 1)</f>
        <v>546</v>
      </c>
      <c r="J66" s="567"/>
      <c r="K66" s="155"/>
      <c r="L66" s="156"/>
      <c r="P66" s="27"/>
    </row>
    <row r="67" spans="2:16" ht="12" customHeight="1" x14ac:dyDescent="0.2">
      <c r="B67" s="47">
        <v>330</v>
      </c>
      <c r="C67" s="62" t="str">
        <f>VLOOKUP( $B67, T_Aop[], 5, 1)</f>
        <v>3</v>
      </c>
      <c r="D67" s="757" t="str">
        <f>VLOOKUP( $B67, T_Aop[], 6, 1)</f>
        <v xml:space="preserve">    Prilivi po osnovu dugoročnih kredita</v>
      </c>
      <c r="E67" s="757"/>
      <c r="F67" s="757"/>
      <c r="G67" s="757"/>
      <c r="H67" s="757"/>
      <c r="I67" s="75">
        <f>VLOOKUP( $B67, T_Aop[], 4, 1)</f>
        <v>547</v>
      </c>
      <c r="J67" s="568"/>
      <c r="K67" s="159">
        <v>47466</v>
      </c>
      <c r="L67" s="160">
        <v>1308621</v>
      </c>
      <c r="P67" s="27"/>
    </row>
    <row r="68" spans="2:16" ht="12" customHeight="1" x14ac:dyDescent="0.2">
      <c r="B68" s="47">
        <v>331</v>
      </c>
      <c r="C68" s="58" t="str">
        <f>VLOOKUP( $B68, T_Aop[], 5, 1)</f>
        <v>4</v>
      </c>
      <c r="D68" s="734" t="str">
        <f>VLOOKUP( $B68, T_Aop[], 6, 1)</f>
        <v xml:space="preserve">    Prilivi po osnovu kratkoročnih kredita</v>
      </c>
      <c r="E68" s="734"/>
      <c r="F68" s="734"/>
      <c r="G68" s="734"/>
      <c r="H68" s="734"/>
      <c r="I68" s="59">
        <f>VLOOKUP( $B68, T_Aop[], 4, 1)</f>
        <v>548</v>
      </c>
      <c r="J68" s="567"/>
      <c r="K68" s="155"/>
      <c r="L68" s="156"/>
      <c r="P68" s="27"/>
    </row>
    <row r="69" spans="2:16" ht="12" customHeight="1" x14ac:dyDescent="0.2">
      <c r="B69" s="47">
        <v>332</v>
      </c>
      <c r="C69" s="66" t="str">
        <f>VLOOKUP( $B69, T_Aop[], 5, 1)</f>
        <v>5</v>
      </c>
      <c r="D69" s="757" t="str">
        <f>VLOOKUP( $B69, T_Aop[], 6, 1)</f>
        <v xml:space="preserve">    Prilivi po osnovu izdatih dužničkih instrumenta</v>
      </c>
      <c r="E69" s="757"/>
      <c r="F69" s="757"/>
      <c r="G69" s="757"/>
      <c r="H69" s="757"/>
      <c r="I69" s="75">
        <f>VLOOKUP( $B69, T_Aop[], 4, 1)</f>
        <v>549</v>
      </c>
      <c r="J69" s="568"/>
      <c r="K69" s="159"/>
      <c r="L69" s="160"/>
      <c r="P69" s="27"/>
    </row>
    <row r="70" spans="2:16" ht="12" customHeight="1" x14ac:dyDescent="0.2">
      <c r="B70" s="47">
        <v>333</v>
      </c>
      <c r="C70" s="58" t="str">
        <f>VLOOKUP( $B70, T_Aop[], 5, 1)</f>
        <v>6</v>
      </c>
      <c r="D70" s="734" t="str">
        <f>VLOOKUP( $B70, T_Aop[], 6, 1)</f>
        <v xml:space="preserve">    Ostali prilivi iz aktivnosti finansiranja </v>
      </c>
      <c r="E70" s="734"/>
      <c r="F70" s="734"/>
      <c r="G70" s="734"/>
      <c r="H70" s="734"/>
      <c r="I70" s="59">
        <f>VLOOKUP( $B70, T_Aop[], 4, 1)</f>
        <v>550</v>
      </c>
      <c r="J70" s="567"/>
      <c r="K70" s="155"/>
      <c r="L70" s="156"/>
      <c r="P70" s="27"/>
    </row>
    <row r="71" spans="2:16" ht="12" customHeight="1" x14ac:dyDescent="0.2">
      <c r="B71" s="47">
        <v>334</v>
      </c>
      <c r="C71" s="66" t="str">
        <f>VLOOKUP( $B71, T_Aop[], 5, 1)</f>
        <v>II</v>
      </c>
      <c r="D71" s="757" t="str">
        <f>VLOOKUP( $B71, T_Aop[], 6, 1)</f>
        <v xml:space="preserve">    Odlivi gotovine iz aktivnosti finansiranja (552 do 558)</v>
      </c>
      <c r="E71" s="757"/>
      <c r="F71" s="757"/>
      <c r="G71" s="757"/>
      <c r="H71" s="757"/>
      <c r="I71" s="75">
        <f>VLOOKUP( $B71, T_Aop[], 4, 1)</f>
        <v>551</v>
      </c>
      <c r="J71" s="568"/>
      <c r="K71" s="492">
        <f>SUBTOTAL( 9, K72:K78)</f>
        <v>1650775</v>
      </c>
      <c r="L71" s="498">
        <f>SUBTOTAL( 9, L72:L78)</f>
        <v>1539867</v>
      </c>
      <c r="P71" s="27"/>
    </row>
    <row r="72" spans="2:16" ht="12" customHeight="1" x14ac:dyDescent="0.2">
      <c r="B72" s="47">
        <v>335</v>
      </c>
      <c r="C72" s="58" t="str">
        <f>VLOOKUP( $B72, T_Aop[], 5, 1)</f>
        <v>1</v>
      </c>
      <c r="D72" s="734" t="str">
        <f>VLOOKUP( $B72, T_Aop[], 6, 1)</f>
        <v xml:space="preserve">    Odlivi po osnovu otkupa sopstvenih akcija i udjela</v>
      </c>
      <c r="E72" s="734"/>
      <c r="F72" s="734"/>
      <c r="G72" s="734"/>
      <c r="H72" s="734"/>
      <c r="I72" s="59">
        <f>VLOOKUP( $B72, T_Aop[], 4, 1)</f>
        <v>552</v>
      </c>
      <c r="J72" s="567"/>
      <c r="K72" s="155"/>
      <c r="L72" s="156"/>
      <c r="P72" s="27"/>
    </row>
    <row r="73" spans="2:16" ht="12" customHeight="1" x14ac:dyDescent="0.2">
      <c r="B73" s="47">
        <v>336</v>
      </c>
      <c r="C73" s="66" t="str">
        <f>VLOOKUP( $B73, T_Aop[], 5, 1)</f>
        <v>2</v>
      </c>
      <c r="D73" s="757" t="str">
        <f>VLOOKUP( $B73, T_Aop[], 6, 1)</f>
        <v xml:space="preserve">    Odlivi po osnovu dugoročnih kredita </v>
      </c>
      <c r="E73" s="757"/>
      <c r="F73" s="757"/>
      <c r="G73" s="757"/>
      <c r="H73" s="757"/>
      <c r="I73" s="75">
        <f>VLOOKUP( $B73, T_Aop[], 4, 1)</f>
        <v>553</v>
      </c>
      <c r="J73" s="568"/>
      <c r="K73" s="159">
        <v>956742</v>
      </c>
      <c r="L73" s="160">
        <v>1531591</v>
      </c>
      <c r="P73" s="27"/>
    </row>
    <row r="74" spans="2:16" ht="12" customHeight="1" x14ac:dyDescent="0.2">
      <c r="B74" s="47">
        <v>337</v>
      </c>
      <c r="C74" s="58" t="str">
        <f>VLOOKUP( $B74, T_Aop[], 5, 1)</f>
        <v>3</v>
      </c>
      <c r="D74" s="734" t="str">
        <f>VLOOKUP( $B74, T_Aop[], 6, 1)</f>
        <v xml:space="preserve">    Odlivi po osnovu kratkoročnih kredita </v>
      </c>
      <c r="E74" s="734"/>
      <c r="F74" s="734"/>
      <c r="G74" s="734"/>
      <c r="H74" s="734"/>
      <c r="I74" s="59">
        <f>VLOOKUP( $B74, T_Aop[], 4, 1)</f>
        <v>554</v>
      </c>
      <c r="J74" s="567"/>
      <c r="K74" s="155"/>
      <c r="L74" s="156"/>
      <c r="P74" s="27"/>
    </row>
    <row r="75" spans="2:16" ht="12" customHeight="1" x14ac:dyDescent="0.2">
      <c r="B75" s="47">
        <v>338</v>
      </c>
      <c r="C75" s="66" t="str">
        <f>VLOOKUP( $B75, T_Aop[], 5, 1)</f>
        <v>4</v>
      </c>
      <c r="D75" s="757" t="str">
        <f>VLOOKUP( $B75, T_Aop[], 6, 1)</f>
        <v xml:space="preserve">    Odlivi po osnovu lizinga </v>
      </c>
      <c r="E75" s="757"/>
      <c r="F75" s="757"/>
      <c r="G75" s="757"/>
      <c r="H75" s="757"/>
      <c r="I75" s="75">
        <f>VLOOKUP( $B75, T_Aop[], 4, 1)</f>
        <v>555</v>
      </c>
      <c r="J75" s="568"/>
      <c r="K75" s="159">
        <v>23501</v>
      </c>
      <c r="L75" s="160">
        <v>8276</v>
      </c>
      <c r="P75" s="27"/>
    </row>
    <row r="76" spans="2:16" ht="12" customHeight="1" x14ac:dyDescent="0.2">
      <c r="B76" s="47">
        <v>339</v>
      </c>
      <c r="C76" s="58" t="str">
        <f>VLOOKUP( $B76, T_Aop[], 5, 1)</f>
        <v>5</v>
      </c>
      <c r="D76" s="734" t="str">
        <f>VLOOKUP( $B76, T_Aop[], 6, 1)</f>
        <v xml:space="preserve">    Odlivi po osnovu dužničkih instrumenata</v>
      </c>
      <c r="E76" s="734"/>
      <c r="F76" s="734"/>
      <c r="G76" s="734"/>
      <c r="H76" s="734"/>
      <c r="I76" s="59">
        <f>VLOOKUP( $B76, T_Aop[], 4, 1)</f>
        <v>556</v>
      </c>
      <c r="J76" s="567"/>
      <c r="K76" s="155">
        <v>670532</v>
      </c>
      <c r="L76" s="156"/>
      <c r="P76" s="27"/>
    </row>
    <row r="77" spans="2:16" ht="12" customHeight="1" x14ac:dyDescent="0.2">
      <c r="B77" s="47">
        <v>340</v>
      </c>
      <c r="C77" s="66" t="str">
        <f>VLOOKUP( $B77, T_Aop[], 5, 1)</f>
        <v>6</v>
      </c>
      <c r="D77" s="757" t="str">
        <f>VLOOKUP( $B77, T_Aop[], 6, 1)</f>
        <v xml:space="preserve">    Odlivi po osnovu isplaćenih dividendi</v>
      </c>
      <c r="E77" s="757"/>
      <c r="F77" s="757"/>
      <c r="G77" s="757"/>
      <c r="H77" s="757"/>
      <c r="I77" s="75">
        <f>VLOOKUP( $B77, T_Aop[], 4, 1)</f>
        <v>557</v>
      </c>
      <c r="J77" s="568"/>
      <c r="K77" s="159"/>
      <c r="L77" s="160"/>
      <c r="P77" s="27"/>
    </row>
    <row r="78" spans="2:16" ht="12" customHeight="1" x14ac:dyDescent="0.2">
      <c r="B78" s="47">
        <v>341</v>
      </c>
      <c r="C78" s="58" t="str">
        <f>VLOOKUP( $B78, T_Aop[], 5, 1)</f>
        <v>7</v>
      </c>
      <c r="D78" s="734" t="str">
        <f>VLOOKUP( $B78, T_Aop[], 6, 1)</f>
        <v xml:space="preserve">    Ostali odlivi iz aktivnosti finansiranja</v>
      </c>
      <c r="E78" s="734"/>
      <c r="F78" s="734"/>
      <c r="G78" s="734"/>
      <c r="H78" s="734"/>
      <c r="I78" s="59">
        <f>VLOOKUP( $B78, T_Aop[], 4, 1)</f>
        <v>558</v>
      </c>
      <c r="J78" s="567"/>
      <c r="K78" s="155"/>
      <c r="L78" s="156"/>
      <c r="P78" s="27"/>
    </row>
    <row r="79" spans="2:16" ht="12" customHeight="1" x14ac:dyDescent="0.2">
      <c r="B79" s="47">
        <v>342</v>
      </c>
      <c r="C79" s="66" t="str">
        <f>VLOOKUP( $B79, T_Aop[], 5, 1)</f>
        <v>III</v>
      </c>
      <c r="D79" s="756" t="str">
        <f>VLOOKUP( $B79, T_Aop[], 6, 1)</f>
        <v xml:space="preserve">  Neto priliv gotovine iz aktivnosti finansiranja (544 – 551)</v>
      </c>
      <c r="E79" s="756"/>
      <c r="F79" s="756"/>
      <c r="G79" s="756"/>
      <c r="H79" s="756"/>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52" t="str">
        <f>VLOOKUP( $B80, T_Aop[], 6, 1)</f>
        <v xml:space="preserve">  Neto odliv gotovine iz aktivnosti finansiranja (551 – 544) </v>
      </c>
      <c r="E80" s="752"/>
      <c r="F80" s="752"/>
      <c r="G80" s="752"/>
      <c r="H80" s="752"/>
      <c r="I80" s="178">
        <f>VLOOKUP( $B80, T_Aop[], 4, 1)</f>
        <v>560</v>
      </c>
      <c r="J80" s="567"/>
      <c r="K80" s="60">
        <f>IF( SUBTOTAL( 9, K64:K70) - SUBTOTAL( 9, K71:K78) &gt;= 0, 0, ABS( SUBTOTAL( 9, K64:K70) - SUBTOTAL( 9, K71:K78)) )</f>
        <v>1603309</v>
      </c>
      <c r="L80" s="61">
        <f>IF( SUBTOTAL( 9, L64:L70) - SUBTOTAL( 9, L71:L78) &gt;= 0, 0, ABS( SUBTOTAL( 9, L64:L70) - SUBTOTAL( 9, L71:L78)) )</f>
        <v>231246</v>
      </c>
      <c r="P80" s="27"/>
    </row>
    <row r="81" spans="2:16" ht="12.75" customHeight="1" x14ac:dyDescent="0.2">
      <c r="B81" s="47">
        <v>344</v>
      </c>
      <c r="C81" s="66" t="str">
        <f>VLOOKUP( $B81, T_Aop[], 5, 1)</f>
        <v>G</v>
      </c>
      <c r="D81" s="756" t="str">
        <f>VLOOKUP( $B81, T_Aop[], 6, 1)</f>
        <v>UKUPNI PRILIVI GOTOVINE (501 + 515 + 544)</v>
      </c>
      <c r="E81" s="756"/>
      <c r="F81" s="756"/>
      <c r="G81" s="756"/>
      <c r="H81" s="756"/>
      <c r="I81" s="189">
        <f>VLOOKUP( $B81, T_Aop[], 4, 1)</f>
        <v>561</v>
      </c>
      <c r="J81" s="568"/>
      <c r="K81" s="67">
        <f>SUBTOTAL( 9, K21:K25, K35:K50, K64:K70)</f>
        <v>29798640</v>
      </c>
      <c r="L81" s="68">
        <f>SUBTOTAL( 9, L21:L25, L35:L50, L64:L70)</f>
        <v>31880349</v>
      </c>
      <c r="P81" s="27"/>
    </row>
    <row r="82" spans="2:16" ht="12.75" customHeight="1" x14ac:dyDescent="0.2">
      <c r="B82" s="47">
        <v>345</v>
      </c>
      <c r="C82" s="58" t="str">
        <f>VLOOKUP( $B82, T_Aop[], 5, 1)</f>
        <v>D</v>
      </c>
      <c r="D82" s="752" t="str">
        <f>VLOOKUP( $B82, T_Aop[], 6, 1)</f>
        <v>UKUPNI ODLIVI GOTOVINE (506 + 531 + 551)</v>
      </c>
      <c r="E82" s="752"/>
      <c r="F82" s="752"/>
      <c r="G82" s="752"/>
      <c r="H82" s="752"/>
      <c r="I82" s="178">
        <f>VLOOKUP( $B82, T_Aop[], 4, 1)</f>
        <v>562</v>
      </c>
      <c r="J82" s="567"/>
      <c r="K82" s="60">
        <f>SUBTOTAL( 9, K26:K32, K51:K61, K71:K78)</f>
        <v>30721981</v>
      </c>
      <c r="L82" s="61">
        <f>SUBTOTAL( 9, L26:L32, L51:L61, L71:L78)</f>
        <v>31585043</v>
      </c>
      <c r="P82" s="27"/>
    </row>
    <row r="83" spans="2:16" ht="12.75" customHeight="1" x14ac:dyDescent="0.2">
      <c r="B83" s="47">
        <v>346</v>
      </c>
      <c r="C83" s="66" t="str">
        <f>VLOOKUP( $B83, T_Aop[], 5, 1)</f>
        <v>Đ</v>
      </c>
      <c r="D83" s="753" t="str">
        <f>VLOOKUP( $B83, T_Aop[], 6, 1)</f>
        <v>NETO PRILIV GOTOVINE (561 – 562)</v>
      </c>
      <c r="E83" s="753"/>
      <c r="F83" s="753"/>
      <c r="G83" s="753"/>
      <c r="H83" s="753"/>
      <c r="I83" s="179">
        <f>VLOOKUP( $B83, T_Aop[], 4, 1)</f>
        <v>563</v>
      </c>
      <c r="J83" s="568"/>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295306</v>
      </c>
      <c r="P83" s="27"/>
    </row>
    <row r="84" spans="2:16" ht="12.75" customHeight="1" x14ac:dyDescent="0.2">
      <c r="B84" s="47">
        <v>347</v>
      </c>
      <c r="C84" s="58" t="str">
        <f>VLOOKUP( $B84, T_Aop[], 5, 1)</f>
        <v>E</v>
      </c>
      <c r="D84" s="752" t="str">
        <f>VLOOKUP( $B84, T_Aop[], 6, 1)</f>
        <v>NETO ODLIV GOTOVINE (562 – 561)</v>
      </c>
      <c r="E84" s="752"/>
      <c r="F84" s="752"/>
      <c r="G84" s="752"/>
      <c r="H84" s="752"/>
      <c r="I84" s="178">
        <f>VLOOKUP( $B84, T_Aop[], 4, 1)</f>
        <v>564</v>
      </c>
      <c r="J84" s="567"/>
      <c r="K84" s="60">
        <f>IF( SUBTOTAL( 9, K21:K25, K35:K50, K64:K70) - SUBTOTAL( 9, K26:K32, K51:K61, K71:K78) &gt;= 0, 0, ABS( SUBTOTAL( 9, K21:K25, K35:K50, K64:K70) - SUBTOTAL( 9, K26:K32, K51:K61, K71:K78)))</f>
        <v>923341</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53" t="str">
        <f>VLOOKUP( $B85, T_Aop[], 6, 1)</f>
        <v xml:space="preserve">GOTOVINA NA POČETKU OBRAČUNSKOG PERIODA </v>
      </c>
      <c r="E85" s="753"/>
      <c r="F85" s="753"/>
      <c r="G85" s="753"/>
      <c r="H85" s="753"/>
      <c r="I85" s="179">
        <f>VLOOKUP( $B85, T_Aop[], 4, 1)</f>
        <v>565</v>
      </c>
      <c r="J85" s="526"/>
      <c r="K85" s="161">
        <v>3623434</v>
      </c>
      <c r="L85" s="162">
        <v>4272569</v>
      </c>
      <c r="P85" s="27"/>
    </row>
    <row r="86" spans="2:16" ht="12.75" customHeight="1" x14ac:dyDescent="0.2">
      <c r="B86" s="47">
        <v>349</v>
      </c>
      <c r="C86" s="58" t="str">
        <f>VLOOKUP( $B86, T_Aop[], 5, 1)</f>
        <v>Z</v>
      </c>
      <c r="D86" s="752" t="str">
        <f>VLOOKUP( $B86, T_Aop[], 6, 1)</f>
        <v>POZITIVNE KURSNE RAZLIKE PO OSNOVU PRERAČUNA GOTOVINE</v>
      </c>
      <c r="E86" s="752"/>
      <c r="F86" s="752"/>
      <c r="G86" s="752"/>
      <c r="H86" s="752"/>
      <c r="I86" s="178">
        <f>VLOOKUP( $B86, T_Aop[], 4, 1)</f>
        <v>566</v>
      </c>
      <c r="J86" s="527"/>
      <c r="K86" s="81"/>
      <c r="L86" s="82"/>
      <c r="P86" s="27"/>
    </row>
    <row r="87" spans="2:16" ht="12.75" customHeight="1" x14ac:dyDescent="0.2">
      <c r="B87" s="47">
        <v>350</v>
      </c>
      <c r="C87" s="66" t="str">
        <f>VLOOKUP( $B87, T_Aop[], 5, 1)</f>
        <v>I</v>
      </c>
      <c r="D87" s="753" t="str">
        <f>VLOOKUP( $B87, T_Aop[], 6, 1)</f>
        <v>NEGATIVNE KURSNE RAZLIKE PO OSNOVU PRERAČUNA GOTOVINE</v>
      </c>
      <c r="E87" s="753"/>
      <c r="F87" s="753"/>
      <c r="G87" s="753"/>
      <c r="H87" s="753"/>
      <c r="I87" s="179">
        <f>VLOOKUP( $B87, T_Aop[], 4, 1)</f>
        <v>567</v>
      </c>
      <c r="J87" s="526"/>
      <c r="K87" s="161"/>
      <c r="L87" s="162"/>
      <c r="P87" s="27"/>
    </row>
    <row r="88" spans="2:16" ht="12.75" customHeight="1" x14ac:dyDescent="0.2">
      <c r="B88" s="47">
        <v>351</v>
      </c>
      <c r="C88" s="191" t="str">
        <f>VLOOKUP( $B88, T_Aop[], 5, 1)</f>
        <v>J</v>
      </c>
      <c r="D88" s="762" t="str">
        <f>VLOOKUP( $B88, T_Aop[], 6, 1)</f>
        <v>GOTOVINA NA KRAJU OBRAČUNSKOG PERIODA (565 + 563 – 564 + 566 – 567)</v>
      </c>
      <c r="E88" s="762"/>
      <c r="F88" s="762"/>
      <c r="G88" s="762"/>
      <c r="H88" s="762"/>
      <c r="I88" s="413">
        <f>VLOOKUP( $B88, T_Aop[], 4, 1)</f>
        <v>568</v>
      </c>
      <c r="J88" s="528"/>
      <c r="K88" s="414">
        <f>SUBTOTAL( 9, K21:K25, K35:K50, K64:K70,K85,K86) - SUBTOTAL( 9, K26:K32, K51:K61, K71:K78, K87)</f>
        <v>2700093</v>
      </c>
      <c r="L88" s="415">
        <f>SUBTOTAL( 9, L21:L25, L35:L50, L64:L70,L85,L86) - SUBTOTAL( 9, L26:L32, L51:L61, L71:L78, L87)</f>
        <v>4567875</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60" t="str">
        <f>Podnozje_Direktor</f>
        <v>Lice ovlašćeno za zastupanje:</v>
      </c>
      <c r="L90" s="760"/>
    </row>
    <row r="91" spans="2:16" ht="21.75" customHeight="1" x14ac:dyDescent="0.2">
      <c r="C91" s="28"/>
      <c r="D91" s="127"/>
      <c r="E91"/>
      <c r="F91" s="13" t="str">
        <f>Podnozje_Broj_licence</f>
        <v>Broj licence:</v>
      </c>
      <c r="G91" s="13" t="str">
        <f>Podatak_Broj_Licence</f>
        <v>0029/24</v>
      </c>
      <c r="H91" s="423"/>
      <c r="I91" s="423"/>
      <c r="J91" s="207"/>
      <c r="K91" s="761" t="str">
        <f>Podatak_Direktor</f>
        <v>Aco Stanišić ma. ecc</v>
      </c>
      <c r="L91" s="761"/>
    </row>
    <row r="92" spans="2:16" ht="20.25" customHeight="1" x14ac:dyDescent="0.2">
      <c r="C92" s="180" t="str">
        <f>Podnozje_Dana</f>
        <v>Dana:</v>
      </c>
      <c r="D92" s="417" t="str">
        <f>Podatak_Dana</f>
        <v>31.10.2024.</v>
      </c>
      <c r="E92"/>
      <c r="F92" s="763"/>
      <c r="G92" s="763"/>
      <c r="K92" s="763"/>
      <c r="L92" s="763"/>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14" activePane="bottomRight" state="frozen"/>
      <selection activeCell="S33" sqref="S33"/>
      <selection pane="topRight" activeCell="S33" sqref="S33"/>
      <selection pane="bottomLeft" activeCell="S33" sqref="S33"/>
      <selection pane="bottomRight" activeCell="C90" sqref="C90:K90"/>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7" t="str">
        <f>Zaglavlje_Naziv_preduzeca</f>
        <v xml:space="preserve">Naziv privrednog društva, zadruge, drugog pravnog lica ili preduzetnika: </v>
      </c>
      <c r="D5" s="647"/>
      <c r="E5" s="647"/>
      <c r="J5" s="766" t="str">
        <f>Podatak_MB</f>
        <v>01814788</v>
      </c>
      <c r="K5" s="766"/>
    </row>
    <row r="6" spans="3:11" x14ac:dyDescent="0.2">
      <c r="C6" s="647"/>
      <c r="D6" s="647"/>
      <c r="E6" s="647"/>
      <c r="F6" s="9"/>
      <c r="K6" s="420" t="str">
        <f>Zaglavlje_MB</f>
        <v>Matični broj</v>
      </c>
    </row>
    <row r="7" spans="3:11" ht="12.75" customHeight="1" x14ac:dyDescent="0.2">
      <c r="C7" s="667" t="str">
        <f>Podatak_Naziv_preduzeca</f>
        <v>Elektrodistribucija a.d. Pale</v>
      </c>
      <c r="D7" s="667"/>
      <c r="E7" s="667"/>
      <c r="F7" s="17"/>
      <c r="K7" s="391" t="str">
        <f>Podatak_Sifra_djelatnosti</f>
        <v>35.13</v>
      </c>
    </row>
    <row r="8" spans="3:11" x14ac:dyDescent="0.2">
      <c r="C8" s="125" t="str">
        <f>Zaglavlje_Sjediste</f>
        <v>Sjedište:</v>
      </c>
      <c r="D8" s="778" t="str">
        <f>Podatak_Sjediste</f>
        <v>Pale</v>
      </c>
      <c r="E8" s="778"/>
      <c r="F8" s="17"/>
      <c r="K8" s="420" t="str">
        <f>Zaglavlje_Sifra_djelatnosti</f>
        <v>Šifra djelatnosti</v>
      </c>
    </row>
    <row r="9" spans="3:11" x14ac:dyDescent="0.2">
      <c r="C9" s="666" t="str">
        <f>Zaglavlje_Ziro_racun</f>
        <v>Račun kod ovlašćene organizacije za platni promet:</v>
      </c>
      <c r="D9" s="666"/>
      <c r="E9" s="666"/>
      <c r="F9" s="243"/>
      <c r="K9" s="391" t="str">
        <f>Podatak_JIB</f>
        <v>4400570050004</v>
      </c>
    </row>
    <row r="10" spans="3:11" x14ac:dyDescent="0.2">
      <c r="C10" s="670" t="str">
        <f>Podatak_Ziro_racun_1</f>
        <v>562-012-00002669-48</v>
      </c>
      <c r="D10" s="670"/>
      <c r="E10" s="670"/>
      <c r="F10" s="243"/>
      <c r="K10" s="242" t="str">
        <f>Zaglavlje_JIB</f>
        <v>JIB</v>
      </c>
    </row>
    <row r="11" spans="3:11" x14ac:dyDescent="0.2">
      <c r="C11" s="670" t="str">
        <f>Podatak_Ziro_racun_2</f>
        <v>555-002-00004363-23</v>
      </c>
      <c r="D11" s="670"/>
      <c r="E11" s="670"/>
      <c r="F11" s="243"/>
      <c r="K11" s="245"/>
    </row>
    <row r="12" spans="3:11" x14ac:dyDescent="0.2">
      <c r="C12" s="719" t="str">
        <f>Podatak_Ziro_racun_3</f>
        <v>567-491-10000002-86</v>
      </c>
      <c r="D12" s="719"/>
      <c r="E12" s="719"/>
      <c r="F12" s="14"/>
    </row>
    <row r="13" spans="3:11" x14ac:dyDescent="0.2">
      <c r="C13" s="719" t="str">
        <f>Podatak_Ziro_racun_4</f>
        <v/>
      </c>
      <c r="D13" s="719"/>
      <c r="E13" s="719"/>
      <c r="F13" s="18"/>
      <c r="G13" s="18"/>
      <c r="H13" s="18"/>
      <c r="I13" s="18"/>
      <c r="J13"/>
      <c r="K13"/>
    </row>
    <row r="14" spans="3:11" ht="15.75" x14ac:dyDescent="0.2">
      <c r="C14" s="758" t="str">
        <f>IF( Id_Konsolidovani, Nazivi_bilansa_Konsolidovani_naziv &amp; LOWER( Nazivi_bilansa_Aneks), Nazivi_bilansa_Aneks)</f>
        <v>Aneks</v>
      </c>
      <c r="D14" s="758"/>
      <c r="E14" s="758"/>
      <c r="F14" s="758"/>
      <c r="G14" s="758"/>
      <c r="H14" s="758"/>
      <c r="I14" s="758"/>
      <c r="J14" s="758"/>
      <c r="K14" s="758"/>
    </row>
    <row r="15" spans="3:11" x14ac:dyDescent="0.2">
      <c r="C15" s="759" t="str">
        <f>Nazivi_bilansa_Aneks1</f>
        <v>(Dodatni računovodstveni izvještaj)</v>
      </c>
      <c r="D15" s="759"/>
      <c r="E15" s="759"/>
      <c r="F15" s="759"/>
      <c r="G15" s="759"/>
      <c r="H15" s="759"/>
      <c r="I15" s="759"/>
      <c r="J15" s="759"/>
      <c r="K15" s="759"/>
    </row>
    <row r="16" spans="3:11" x14ac:dyDescent="0.2">
      <c r="C16" s="759" t="str">
        <f>Datumi_Datum_Aneks</f>
        <v>za period od 01.01. do 30.09.2024. godine</v>
      </c>
      <c r="D16" s="759"/>
      <c r="E16" s="759"/>
      <c r="F16" s="759"/>
      <c r="G16" s="759"/>
      <c r="H16" s="759"/>
      <c r="I16" s="759"/>
      <c r="J16" s="759"/>
      <c r="K16" s="759"/>
    </row>
    <row r="17" spans="2:15" x14ac:dyDescent="0.2">
      <c r="C17" s="41"/>
      <c r="D17" s="41"/>
      <c r="E17" s="41"/>
      <c r="F17" s="41"/>
      <c r="G17" s="41"/>
      <c r="H17" s="41"/>
      <c r="I17" s="41"/>
      <c r="J17" s="41"/>
      <c r="K17" s="21" t="str">
        <f>Tabele_zaglavlje_Valuta</f>
        <v>- u konvertibilnim markama -</v>
      </c>
    </row>
    <row r="18" spans="2:15" x14ac:dyDescent="0.2">
      <c r="C18" s="739" t="str">
        <f>Tabele_zaglavlje_Grupa_racuna</f>
        <v>Grupa računa, račun</v>
      </c>
      <c r="D18" s="741" t="str">
        <f>Tabele_zaglavlje_Pozicija</f>
        <v>POZICIJA</v>
      </c>
      <c r="E18" s="741"/>
      <c r="F18" s="741"/>
      <c r="G18" s="741"/>
      <c r="H18" s="741"/>
      <c r="I18" s="736" t="str">
        <f>Tabele_zaglavlje_Oznaka_aop</f>
        <v>Oznaka za AOP</v>
      </c>
      <c r="J18" s="741" t="str">
        <f>Tabele_zaglavlje_Iznos</f>
        <v>Iznos</v>
      </c>
      <c r="K18" s="773"/>
    </row>
    <row r="19" spans="2:15" ht="25.5" x14ac:dyDescent="0.2">
      <c r="C19" s="740"/>
      <c r="D19" s="742"/>
      <c r="E19" s="742"/>
      <c r="F19" s="742"/>
      <c r="G19" s="742"/>
      <c r="H19" s="742"/>
      <c r="I19" s="737"/>
      <c r="J19" s="42" t="str">
        <f>Tabele_zaglavlje_Tekuca_godina</f>
        <v>Tekuća godina</v>
      </c>
      <c r="K19" s="43" t="str">
        <f>Tabele_zaglavlje_Prethodna_godina</f>
        <v>Prethodna godina</v>
      </c>
      <c r="O19" s="134" t="s">
        <v>490</v>
      </c>
    </row>
    <row r="20" spans="2:15" x14ac:dyDescent="0.2">
      <c r="B20" s="44" t="s">
        <v>123</v>
      </c>
      <c r="C20" s="69">
        <v>1</v>
      </c>
      <c r="D20" s="743">
        <v>2</v>
      </c>
      <c r="E20" s="743"/>
      <c r="F20" s="743"/>
      <c r="G20" s="743"/>
      <c r="H20" s="743"/>
      <c r="I20" s="70">
        <v>3</v>
      </c>
      <c r="J20" s="76">
        <v>4</v>
      </c>
      <c r="K20" s="77">
        <v>5</v>
      </c>
    </row>
    <row r="21" spans="2:15" x14ac:dyDescent="0.2">
      <c r="B21" s="47">
        <v>352</v>
      </c>
      <c r="C21" s="71" t="str">
        <f>VLOOKUP( $B21, T_Aop[], 5, 1)</f>
        <v>010</v>
      </c>
      <c r="D21" s="774" t="str">
        <f>VLOOKUP( $B21, T_Aop[], 6, 1)</f>
        <v>Ulaganja u istraživanje i razvoj (dugovni promet bez početnog stanja)</v>
      </c>
      <c r="E21" s="774"/>
      <c r="F21" s="774"/>
      <c r="G21" s="774"/>
      <c r="H21" s="774"/>
      <c r="I21" s="190">
        <f>VLOOKUP( $B21, T_Aop[], 4, 1)</f>
        <v>601</v>
      </c>
      <c r="J21" s="204"/>
      <c r="K21" s="205"/>
      <c r="O21" s="27"/>
    </row>
    <row r="22" spans="2:15" ht="25.5" x14ac:dyDescent="0.2">
      <c r="B22" s="47">
        <v>353</v>
      </c>
      <c r="C22" s="58" t="str">
        <f>VLOOKUP( $B22, T_Aop[], 5, 1)</f>
        <v>201, dio 200</v>
      </c>
      <c r="D22" s="734" t="str">
        <f>VLOOKUP( $B22, T_Aop[], 6, 1)</f>
        <v>Kupci iz Republike Srpske i kupci - povezana pravna lica iz RS (dugovni promet bez početnog stanja)</v>
      </c>
      <c r="E22" s="734"/>
      <c r="F22" s="734"/>
      <c r="G22" s="734"/>
      <c r="H22" s="734"/>
      <c r="I22" s="59">
        <f>VLOOKUP( $B22, T_Aop[], 4, 1)</f>
        <v>602</v>
      </c>
      <c r="J22" s="155"/>
      <c r="K22" s="156"/>
      <c r="O22" s="133" t="s">
        <v>313</v>
      </c>
    </row>
    <row r="23" spans="2:15" ht="25.5" customHeight="1" x14ac:dyDescent="0.2">
      <c r="B23" s="47">
        <v>354</v>
      </c>
      <c r="C23" s="62" t="str">
        <f>VLOOKUP( $B23, T_Aop[], 5, 1)</f>
        <v>202, dio 200</v>
      </c>
      <c r="D23" s="767" t="str">
        <f>VLOOKUP( $B23, T_Aop[], 6, 1)</f>
        <v>Kupci iz Federacije BiH i kupci - povezana pravna lica iz FBiH (dugovni promet bez početnog stanja)</v>
      </c>
      <c r="E23" s="768"/>
      <c r="F23" s="768"/>
      <c r="G23" s="768"/>
      <c r="H23" s="769"/>
      <c r="I23" s="75">
        <f>VLOOKUP( $B23, T_Aop[], 4, 1)</f>
        <v>603</v>
      </c>
      <c r="J23" s="157"/>
      <c r="K23" s="158"/>
      <c r="O23" s="133" t="s">
        <v>313</v>
      </c>
    </row>
    <row r="24" spans="2:15" ht="25.5" customHeight="1" x14ac:dyDescent="0.2">
      <c r="B24" s="47">
        <v>355</v>
      </c>
      <c r="C24" s="58" t="str">
        <f>VLOOKUP( $B24, T_Aop[], 5, 1)</f>
        <v>203, dio 200</v>
      </c>
      <c r="D24" s="770" t="str">
        <f>VLOOKUP( $B24, T_Aop[], 6, 1)</f>
        <v>Kupci iz Brčko Distrikta BiH i kupci - povezana pravna lica iz BD (dugovni promet bez početnog stanja)</v>
      </c>
      <c r="E24" s="771"/>
      <c r="F24" s="771"/>
      <c r="G24" s="771"/>
      <c r="H24" s="772"/>
      <c r="I24" s="59">
        <f>VLOOKUP( $B24, T_Aop[], 4, 1)</f>
        <v>604</v>
      </c>
      <c r="J24" s="155"/>
      <c r="K24" s="156"/>
      <c r="O24" s="133" t="s">
        <v>313</v>
      </c>
    </row>
    <row r="25" spans="2:15" ht="25.5" x14ac:dyDescent="0.2">
      <c r="B25" s="47">
        <v>356</v>
      </c>
      <c r="C25" s="62" t="str">
        <f>VLOOKUP( $B25, T_Aop[], 5, 1)</f>
        <v>432, dio 431</v>
      </c>
      <c r="D25" s="767" t="str">
        <f>VLOOKUP( $B25, T_Aop[], 6, 1)</f>
        <v>Dobavljači iz Republike Srpske i dobavljači - povezana pravna lica iz RS (potražni promet bez početnog stanja)</v>
      </c>
      <c r="E25" s="768"/>
      <c r="F25" s="768"/>
      <c r="G25" s="768"/>
      <c r="H25" s="769"/>
      <c r="I25" s="75">
        <f>VLOOKUP( $B25, T_Aop[], 4, 1)</f>
        <v>605</v>
      </c>
      <c r="J25" s="157"/>
      <c r="K25" s="158"/>
      <c r="O25" s="133" t="s">
        <v>313</v>
      </c>
    </row>
    <row r="26" spans="2:15" ht="25.5" x14ac:dyDescent="0.2">
      <c r="B26" s="47">
        <v>357</v>
      </c>
      <c r="C26" s="58" t="str">
        <f>VLOOKUP( $B26, T_Aop[], 5, 1)</f>
        <v>433, dio 431</v>
      </c>
      <c r="D26" s="770" t="str">
        <f>VLOOKUP( $B26, T_Aop[], 6, 1)</f>
        <v>Dobavljači iz Federacije BiH i dobavljači - povezana pravna lica iz FBiH (potražni promet bez početnog stanja)</v>
      </c>
      <c r="E26" s="771"/>
      <c r="F26" s="771"/>
      <c r="G26" s="771"/>
      <c r="H26" s="772"/>
      <c r="I26" s="59">
        <f>VLOOKUP( $B26, T_Aop[], 4, 1)</f>
        <v>606</v>
      </c>
      <c r="J26" s="155"/>
      <c r="K26" s="156"/>
      <c r="O26" s="133" t="s">
        <v>313</v>
      </c>
    </row>
    <row r="27" spans="2:15" ht="25.5" x14ac:dyDescent="0.2">
      <c r="B27" s="47">
        <v>358</v>
      </c>
      <c r="C27" s="62" t="str">
        <f>VLOOKUP( $B27, T_Aop[], 5, 1)</f>
        <v>434, dio 431</v>
      </c>
      <c r="D27" s="767" t="str">
        <f>VLOOKUP( $B27, T_Aop[], 6, 1)</f>
        <v>Dobavljači iz Brčko Distrikta BiH i dobavljači - povezana pravna lica iz DB (potražni promet bez početnog stanja)</v>
      </c>
      <c r="E27" s="768"/>
      <c r="F27" s="768"/>
      <c r="G27" s="768"/>
      <c r="H27" s="769"/>
      <c r="I27" s="75">
        <f>VLOOKUP( $B27, T_Aop[], 4, 1)</f>
        <v>607</v>
      </c>
      <c r="J27" s="157"/>
      <c r="K27" s="158"/>
      <c r="O27" s="133" t="s">
        <v>313</v>
      </c>
    </row>
    <row r="28" spans="2:15" ht="25.5" customHeight="1" x14ac:dyDescent="0.2">
      <c r="B28" s="47">
        <v>359</v>
      </c>
      <c r="C28" s="58" t="str">
        <f>VLOOKUP( $B28, T_Aop[], 5, 1)</f>
        <v>601, dio 600, dio 605</v>
      </c>
      <c r="D28" s="770" t="str">
        <f>VLOOKUP( $B28, T_Aop[], 6, 1)</f>
        <v>Prihodi od prodaje robe u Republici Srpskoj i prihodi od prodaje robe povezanim pravnim licima u RS</v>
      </c>
      <c r="E28" s="771"/>
      <c r="F28" s="771"/>
      <c r="G28" s="771"/>
      <c r="H28" s="772"/>
      <c r="I28" s="59">
        <f>VLOOKUP( $B28, T_Aop[], 4, 1)</f>
        <v>608</v>
      </c>
      <c r="J28" s="155"/>
      <c r="K28" s="156"/>
      <c r="O28" s="133" t="s">
        <v>313</v>
      </c>
    </row>
    <row r="29" spans="2:15" ht="25.5" customHeight="1" x14ac:dyDescent="0.2">
      <c r="B29" s="47">
        <v>360</v>
      </c>
      <c r="C29" s="62" t="str">
        <f>VLOOKUP( $B29, T_Aop[], 5, 1)</f>
        <v>602, dio 600, dio 605</v>
      </c>
      <c r="D29" s="767" t="str">
        <f>VLOOKUP( $B29, T_Aop[], 6, 1)</f>
        <v>Prihodi od prodaje robe u Federaciji BiH i prihodi od prodaje robe povezanim pravnim licima u FBiH</v>
      </c>
      <c r="E29" s="768"/>
      <c r="F29" s="768"/>
      <c r="G29" s="768"/>
      <c r="H29" s="769"/>
      <c r="I29" s="75">
        <f>VLOOKUP( $B29, T_Aop[], 4, 1)</f>
        <v>609</v>
      </c>
      <c r="J29" s="157"/>
      <c r="K29" s="158"/>
      <c r="O29" s="133" t="s">
        <v>313</v>
      </c>
    </row>
    <row r="30" spans="2:15" ht="25.5" customHeight="1" x14ac:dyDescent="0.2">
      <c r="B30" s="47">
        <v>361</v>
      </c>
      <c r="C30" s="58" t="str">
        <f>VLOOKUP( $B30, T_Aop[], 5, 1)</f>
        <v>603, dio 600, dio 605</v>
      </c>
      <c r="D30" s="770" t="str">
        <f>VLOOKUP( $B30, T_Aop[], 6, 1)</f>
        <v>Prihodi od prodaje robe u Brčko Distriktu BiH i prihodi od prodaje robe povezanim pravnim licima u BD</v>
      </c>
      <c r="E30" s="771"/>
      <c r="F30" s="771"/>
      <c r="G30" s="771"/>
      <c r="H30" s="772"/>
      <c r="I30" s="59">
        <f>VLOOKUP( $B30, T_Aop[], 4, 1)</f>
        <v>610</v>
      </c>
      <c r="J30" s="155"/>
      <c r="K30" s="156"/>
      <c r="O30" s="133" t="s">
        <v>313</v>
      </c>
    </row>
    <row r="31" spans="2:15" ht="25.5" customHeight="1" x14ac:dyDescent="0.2">
      <c r="B31" s="47">
        <v>362</v>
      </c>
      <c r="C31" s="62" t="str">
        <f>VLOOKUP( $B31, T_Aop[], 5, 1)</f>
        <v>611, dio 610, dio 615</v>
      </c>
      <c r="D31" s="767" t="str">
        <f>VLOOKUP( $B31, T_Aop[], 6, 1)</f>
        <v>Prihodi od prodaje proizvoda u Republici Srpskoj i prihodi od prodaje proizvoda povezanim pravnim licima u Republici Srpskoj</v>
      </c>
      <c r="E31" s="768"/>
      <c r="F31" s="768"/>
      <c r="G31" s="768"/>
      <c r="H31" s="769"/>
      <c r="I31" s="75">
        <f>VLOOKUP( $B31, T_Aop[], 4, 1)</f>
        <v>611</v>
      </c>
      <c r="J31" s="157"/>
      <c r="K31" s="158"/>
      <c r="O31"/>
    </row>
    <row r="32" spans="2:15" ht="25.5" customHeight="1" x14ac:dyDescent="0.2">
      <c r="B32" s="47">
        <v>363</v>
      </c>
      <c r="C32" s="58" t="str">
        <f>VLOOKUP( $B32, T_Aop[], 5, 1)</f>
        <v>612, dio 610, dio 615</v>
      </c>
      <c r="D32" s="770" t="str">
        <f>VLOOKUP( $B32, T_Aop[], 6, 1)</f>
        <v>Prihodi od prodaje proizvoda u Federaciji BiH i prihodi od prodaje proizvoda povezanim pravnim licima u Federaciji BiH</v>
      </c>
      <c r="E32" s="771"/>
      <c r="F32" s="771"/>
      <c r="G32" s="771"/>
      <c r="H32" s="772"/>
      <c r="I32" s="59">
        <f>VLOOKUP( $B32, T_Aop[], 4, 1)</f>
        <v>612</v>
      </c>
      <c r="J32" s="155"/>
      <c r="K32" s="156"/>
      <c r="O32"/>
    </row>
    <row r="33" spans="2:15" ht="25.5" customHeight="1" x14ac:dyDescent="0.2">
      <c r="B33" s="47">
        <v>364</v>
      </c>
      <c r="C33" s="62" t="str">
        <f>VLOOKUP( $B33, T_Aop[], 5, 1)</f>
        <v>613, dio 610, dio 615</v>
      </c>
      <c r="D33" s="767" t="str">
        <f>VLOOKUP( $B33, T_Aop[], 6, 1)</f>
        <v>Prihodi od prodaje proizvoda u Brčko Distriktu BiH i prihodi od prodaje učinaka povezanim pravnim licima u Brčko Distriktu BiH</v>
      </c>
      <c r="E33" s="768"/>
      <c r="F33" s="768"/>
      <c r="G33" s="768"/>
      <c r="H33" s="769"/>
      <c r="I33" s="75">
        <f>VLOOKUP( $B33, T_Aop[], 4, 1)</f>
        <v>613</v>
      </c>
      <c r="J33" s="157"/>
      <c r="K33" s="158"/>
      <c r="O33" s="133" t="s">
        <v>313</v>
      </c>
    </row>
    <row r="34" spans="2:15" ht="25.5" customHeight="1" x14ac:dyDescent="0.2">
      <c r="B34" s="47">
        <v>365</v>
      </c>
      <c r="C34" s="58" t="str">
        <f>VLOOKUP( $B34, T_Aop[], 5, 1)</f>
        <v>621, dio 620, dio 625</v>
      </c>
      <c r="D34" s="770" t="str">
        <f>VLOOKUP( $B34, T_Aop[], 6, 1)</f>
        <v xml:space="preserve">Prihodi od pruženih usluga u Republici Srpskoj i prihodi od pruženih usluga povezanim pravnim licima u Republici Srpskoj  </v>
      </c>
      <c r="E34" s="771"/>
      <c r="F34" s="771"/>
      <c r="G34" s="771"/>
      <c r="H34" s="772"/>
      <c r="I34" s="59">
        <f>VLOOKUP( $B34, T_Aop[], 4, 1)</f>
        <v>614</v>
      </c>
      <c r="J34" s="155"/>
      <c r="K34" s="156"/>
      <c r="O34" s="133" t="s">
        <v>313</v>
      </c>
    </row>
    <row r="35" spans="2:15" ht="25.5" customHeight="1" x14ac:dyDescent="0.2">
      <c r="B35" s="47">
        <v>366</v>
      </c>
      <c r="C35" s="62" t="str">
        <f>VLOOKUP( $B35, T_Aop[], 5, 1)</f>
        <v>622, dio 620, dio 625</v>
      </c>
      <c r="D35" s="767" t="str">
        <f>VLOOKUP( $B35, T_Aop[], 6, 1)</f>
        <v>Prihodi od pruženih usluga u Federaciji BiH i prihodi od pruženih usluga povezanim pravnim licima u Federaciji BiH</v>
      </c>
      <c r="E35" s="768"/>
      <c r="F35" s="768"/>
      <c r="G35" s="768"/>
      <c r="H35" s="769"/>
      <c r="I35" s="75">
        <f>VLOOKUP( $B35, T_Aop[], 4, 1)</f>
        <v>615</v>
      </c>
      <c r="J35" s="157"/>
      <c r="K35" s="158"/>
      <c r="O35" s="133" t="s">
        <v>313</v>
      </c>
    </row>
    <row r="36" spans="2:15" ht="25.5" customHeight="1" x14ac:dyDescent="0.2">
      <c r="B36" s="47">
        <v>367</v>
      </c>
      <c r="C36" s="58" t="str">
        <f>VLOOKUP( $B36, T_Aop[], 5, 1)</f>
        <v>623, dio 620, dio 625</v>
      </c>
      <c r="D36" s="770" t="str">
        <f>VLOOKUP( $B36, T_Aop[], 6, 1)</f>
        <v>Prihodi od pruženih usluga u Brčko Distriktu BiH i prihodi od pruženih usluga povezanim pravnim licima u Brčko Distriktu BiH</v>
      </c>
      <c r="E36" s="771"/>
      <c r="F36" s="771"/>
      <c r="G36" s="771"/>
      <c r="H36" s="772"/>
      <c r="I36" s="59">
        <f>VLOOKUP( $B36, T_Aop[], 4, 1)</f>
        <v>616</v>
      </c>
      <c r="J36" s="155"/>
      <c r="K36" s="156"/>
      <c r="O36" s="27"/>
    </row>
    <row r="37" spans="2:15" ht="12.75" customHeight="1" x14ac:dyDescent="0.2">
      <c r="B37" s="47">
        <v>368</v>
      </c>
      <c r="C37" s="188">
        <f>VLOOKUP( $B37, T_Aop[], 5, 1)</f>
        <v>65</v>
      </c>
      <c r="D37" s="713" t="str">
        <f>VLOOKUP( $B37, T_Aop[], 6, 1)</f>
        <v>OSTALI POSLOVNI PRIHODI (618 + 621 + 622 + 623 + 624 + 625 + 626 + 627 + 628)</v>
      </c>
      <c r="E37" s="714"/>
      <c r="F37" s="714"/>
      <c r="G37" s="714"/>
      <c r="H37" s="715"/>
      <c r="I37" s="189">
        <f>VLOOKUP( $B37, T_Aop[], 4, 1)</f>
        <v>617</v>
      </c>
      <c r="J37" s="64">
        <f>SUBTOTAL( 9, J38, J41:J48)</f>
        <v>0</v>
      </c>
      <c r="K37" s="65">
        <f>SUBTOTAL( 9, K38, K41:K48)</f>
        <v>0</v>
      </c>
      <c r="O37" s="27"/>
    </row>
    <row r="38" spans="2:15" ht="12.75" customHeight="1" x14ac:dyDescent="0.2">
      <c r="B38" s="47">
        <v>369</v>
      </c>
      <c r="C38" s="58">
        <f>VLOOKUP( $B38, T_Aop[], 5, 1)</f>
        <v>650</v>
      </c>
      <c r="D38" s="770" t="str">
        <f>VLOOKUP( $B38, T_Aop[], 6, 1)</f>
        <v xml:space="preserve">  a) Prihodi od premija, subvencija, dotacija, regresa, podsticaja i slično</v>
      </c>
      <c r="E38" s="771"/>
      <c r="F38" s="771"/>
      <c r="G38" s="771"/>
      <c r="H38" s="772"/>
      <c r="I38" s="59">
        <f>VLOOKUP( $B38, T_Aop[], 4, 1)</f>
        <v>618</v>
      </c>
      <c r="J38" s="155"/>
      <c r="K38" s="156"/>
      <c r="O38" s="27"/>
    </row>
    <row r="39" spans="2:15" ht="25.5" customHeight="1" x14ac:dyDescent="0.2">
      <c r="B39" s="47">
        <v>370</v>
      </c>
      <c r="C39" s="62" t="str">
        <f>VLOOKUP( $B39, T_Aop[], 5, 1)</f>
        <v>dio 650</v>
      </c>
      <c r="D39" s="767" t="str">
        <f>VLOOKUP( $B39, T_Aop[], 6, 1)</f>
        <v xml:space="preserve">    Od toga: prihodi po osnovu subvencija na proizvode1 (subvencije koje se mogu prikazati po jedinici proizvoda, npr. vozna karta, brašno, hljeb, mlijeko i dr.)</v>
      </c>
      <c r="E39" s="768"/>
      <c r="F39" s="768"/>
      <c r="G39" s="768"/>
      <c r="H39" s="769"/>
      <c r="I39" s="75">
        <f>VLOOKUP( $B39, T_Aop[], 4, 1)</f>
        <v>619</v>
      </c>
      <c r="J39" s="157"/>
      <c r="K39" s="158"/>
      <c r="O39" s="27"/>
    </row>
    <row r="40" spans="2:15" ht="25.5" customHeight="1" x14ac:dyDescent="0.2">
      <c r="B40" s="47">
        <v>371</v>
      </c>
      <c r="C40" s="58" t="str">
        <f>VLOOKUP( $B40, T_Aop[], 5, 1)</f>
        <v>dio 650</v>
      </c>
      <c r="D40" s="770" t="str">
        <f>VLOOKUP( $B40, T_Aop[], 6, 1)</f>
        <v xml:space="preserve">    Od toga: prihodi po osnovu subvencija na proizvodnju2 (na zapošljavanje, platu, kamatnu stopu, za smanjenje zagađenja i dr.)</v>
      </c>
      <c r="E40" s="771"/>
      <c r="F40" s="771"/>
      <c r="G40" s="771"/>
      <c r="H40" s="772"/>
      <c r="I40" s="59">
        <f>VLOOKUP( $B40, T_Aop[], 4, 1)</f>
        <v>620</v>
      </c>
      <c r="J40" s="155"/>
      <c r="K40" s="156"/>
      <c r="O40" s="27"/>
    </row>
    <row r="41" spans="2:15" ht="12.75" customHeight="1" x14ac:dyDescent="0.2">
      <c r="B41" s="47">
        <v>372</v>
      </c>
      <c r="C41" s="62">
        <f>VLOOKUP( $B41, T_Aop[], 5, 1)</f>
        <v>651</v>
      </c>
      <c r="D41" s="767" t="str">
        <f>VLOOKUP( $B41, T_Aop[], 6, 1)</f>
        <v xml:space="preserve">  b) Prihod od zakupnina</v>
      </c>
      <c r="E41" s="768"/>
      <c r="F41" s="768"/>
      <c r="G41" s="768"/>
      <c r="H41" s="769"/>
      <c r="I41" s="75">
        <f>VLOOKUP( $B41, T_Aop[], 4, 1)</f>
        <v>621</v>
      </c>
      <c r="J41" s="157"/>
      <c r="K41" s="158"/>
      <c r="O41" s="133" t="s">
        <v>313</v>
      </c>
    </row>
    <row r="42" spans="2:15" ht="12.75" customHeight="1" x14ac:dyDescent="0.2">
      <c r="B42" s="47">
        <v>373</v>
      </c>
      <c r="C42" s="58">
        <f>VLOOKUP( $B42, T_Aop[], 5, 1)</f>
        <v>652</v>
      </c>
      <c r="D42" s="770" t="str">
        <f>VLOOKUP( $B42, T_Aop[], 6, 1)</f>
        <v xml:space="preserve">  v) Prihod od donacija</v>
      </c>
      <c r="E42" s="771"/>
      <c r="F42" s="771"/>
      <c r="G42" s="771"/>
      <c r="H42" s="772"/>
      <c r="I42" s="59">
        <f>VLOOKUP( $B42, T_Aop[], 4, 1)</f>
        <v>622</v>
      </c>
      <c r="J42" s="155"/>
      <c r="K42" s="156"/>
      <c r="O42" s="133" t="s">
        <v>313</v>
      </c>
    </row>
    <row r="43" spans="2:15" ht="12.75" customHeight="1" x14ac:dyDescent="0.2">
      <c r="B43" s="47">
        <v>374</v>
      </c>
      <c r="C43" s="62">
        <f>VLOOKUP( $B43, T_Aop[], 5, 1)</f>
        <v>653</v>
      </c>
      <c r="D43" s="767" t="str">
        <f>VLOOKUP( $B43, T_Aop[], 6, 1)</f>
        <v xml:space="preserve">  g) Prihod od članarina</v>
      </c>
      <c r="E43" s="768"/>
      <c r="F43" s="768"/>
      <c r="G43" s="768"/>
      <c r="H43" s="769"/>
      <c r="I43" s="75">
        <f>VLOOKUP( $B43, T_Aop[], 4, 1)</f>
        <v>623</v>
      </c>
      <c r="J43" s="157"/>
      <c r="K43" s="158"/>
      <c r="O43" s="27"/>
    </row>
    <row r="44" spans="2:15" ht="12.75" customHeight="1" x14ac:dyDescent="0.2">
      <c r="B44" s="47">
        <v>375</v>
      </c>
      <c r="C44" s="58">
        <f>VLOOKUP( $B44, T_Aop[], 5, 1)</f>
        <v>654</v>
      </c>
      <c r="D44" s="770" t="str">
        <f>VLOOKUP( $B44, T_Aop[], 6, 1)</f>
        <v xml:space="preserve">  d) Prihod od tantijema i licencnih prava</v>
      </c>
      <c r="E44" s="771"/>
      <c r="F44" s="771"/>
      <c r="G44" s="771"/>
      <c r="H44" s="772"/>
      <c r="I44" s="59">
        <f>VLOOKUP( $B44, T_Aop[], 4, 1)</f>
        <v>624</v>
      </c>
      <c r="J44" s="155"/>
      <c r="K44" s="156"/>
      <c r="O44" s="27"/>
    </row>
    <row r="45" spans="2:15" ht="12.75" customHeight="1" x14ac:dyDescent="0.2">
      <c r="B45" s="47">
        <v>376</v>
      </c>
      <c r="C45" s="62">
        <f>VLOOKUP( $B45, T_Aop[], 5, 1)</f>
        <v>655</v>
      </c>
      <c r="D45" s="767" t="str">
        <f>VLOOKUP( $B45, T_Aop[], 6, 1)</f>
        <v xml:space="preserve">  đ) Prihod iz namjenskih izvora finansiranja (iz budžeta, fondova i dr.)</v>
      </c>
      <c r="E45" s="768"/>
      <c r="F45" s="768"/>
      <c r="G45" s="768"/>
      <c r="H45" s="769"/>
      <c r="I45" s="75">
        <f>VLOOKUP( $B45, T_Aop[], 4, 1)</f>
        <v>625</v>
      </c>
      <c r="J45" s="157"/>
      <c r="K45" s="158"/>
      <c r="O45" s="27"/>
    </row>
    <row r="46" spans="2:15" ht="12.75" customHeight="1" x14ac:dyDescent="0.2">
      <c r="B46" s="47">
        <v>377</v>
      </c>
      <c r="C46" s="58" t="str">
        <f>VLOOKUP( $B46, T_Aop[], 5, 1)</f>
        <v>656</v>
      </c>
      <c r="D46" s="770" t="str">
        <f>VLOOKUP( $B46, T_Aop[], 6, 1)</f>
        <v xml:space="preserve">  e) Prihodi od dividendi</v>
      </c>
      <c r="E46" s="771"/>
      <c r="F46" s="771"/>
      <c r="G46" s="771"/>
      <c r="H46" s="772"/>
      <c r="I46" s="59">
        <f>VLOOKUP( $B46, T_Aop[], 4, 1)</f>
        <v>626</v>
      </c>
      <c r="J46" s="155"/>
      <c r="K46" s="156"/>
      <c r="O46" s="27"/>
    </row>
    <row r="47" spans="2:15" ht="12.75" customHeight="1" x14ac:dyDescent="0.2">
      <c r="B47" s="47">
        <v>378</v>
      </c>
      <c r="C47" s="62" t="str">
        <f>VLOOKUP( $B47, T_Aop[], 5, 1)</f>
        <v>657</v>
      </c>
      <c r="D47" s="767" t="str">
        <f>VLOOKUP( $B47, T_Aop[], 6, 1)</f>
        <v xml:space="preserve">  ž) Prihodi od aktiviranja ili potrošnje robe, gotovih proizvoda ili usluga</v>
      </c>
      <c r="E47" s="768"/>
      <c r="F47" s="768"/>
      <c r="G47" s="768"/>
      <c r="H47" s="769"/>
      <c r="I47" s="75">
        <f>VLOOKUP( $B47, T_Aop[], 4, 1)</f>
        <v>627</v>
      </c>
      <c r="J47" s="157"/>
      <c r="K47" s="158"/>
      <c r="O47" s="27"/>
    </row>
    <row r="48" spans="2:15" ht="12.75" customHeight="1" x14ac:dyDescent="0.2">
      <c r="B48" s="47">
        <v>379</v>
      </c>
      <c r="C48" s="58">
        <f>VLOOKUP( $B48, T_Aop[], 5, 1)</f>
        <v>659</v>
      </c>
      <c r="D48" s="770" t="str">
        <f>VLOOKUP( $B48, T_Aop[], 6, 1)</f>
        <v xml:space="preserve">  z) Ostali poslovni prihodi po drugim osnovima</v>
      </c>
      <c r="E48" s="771"/>
      <c r="F48" s="771"/>
      <c r="G48" s="771"/>
      <c r="H48" s="772"/>
      <c r="I48" s="59">
        <f>VLOOKUP( $B48, T_Aop[], 4, 1)</f>
        <v>628</v>
      </c>
      <c r="J48" s="155"/>
      <c r="K48" s="156"/>
      <c r="O48" s="27"/>
    </row>
    <row r="49" spans="2:15" ht="12.75" customHeight="1" x14ac:dyDescent="0.2">
      <c r="B49" s="47">
        <v>380</v>
      </c>
      <c r="C49" s="188" t="str">
        <f>VLOOKUP( $B49, T_Aop[], 5, 1)</f>
        <v>66 + 67</v>
      </c>
      <c r="D49" s="713" t="str">
        <f>VLOOKUP( $B49, T_Aop[], 6, 1)</f>
        <v>FINANSIJSKI I OSTALI PRIHODI</v>
      </c>
      <c r="E49" s="714"/>
      <c r="F49" s="714"/>
      <c r="G49" s="714"/>
      <c r="H49" s="715"/>
      <c r="I49" s="189">
        <f>VLOOKUP( $B49, T_Aop[], 4, 1)</f>
        <v>629</v>
      </c>
      <c r="J49" s="202"/>
      <c r="K49" s="203"/>
      <c r="O49" s="27"/>
    </row>
    <row r="50" spans="2:15" ht="12.75" customHeight="1" x14ac:dyDescent="0.2">
      <c r="B50" s="47">
        <v>381</v>
      </c>
      <c r="C50" s="58" t="str">
        <f>VLOOKUP( $B50, T_Aop[], 5, 1)</f>
        <v>dio 670</v>
      </c>
      <c r="D50" s="770" t="str">
        <f>VLOOKUP( $B50, T_Aop[], 6, 1)</f>
        <v xml:space="preserve">    Od toga: dobici po osnovu prodaje nekretnina, postrojenja i opreme </v>
      </c>
      <c r="E50" s="771"/>
      <c r="F50" s="771"/>
      <c r="G50" s="771"/>
      <c r="H50" s="772"/>
      <c r="I50" s="59">
        <f>VLOOKUP( $B50, T_Aop[], 4, 1)</f>
        <v>630</v>
      </c>
      <c r="J50" s="155"/>
      <c r="K50" s="156"/>
      <c r="O50" s="27"/>
    </row>
    <row r="51" spans="2:15" ht="12.75" customHeight="1" x14ac:dyDescent="0.2">
      <c r="B51" s="47">
        <v>382</v>
      </c>
      <c r="C51" s="62" t="str">
        <f>VLOOKUP( $B51, T_Aop[], 5, 1)</f>
        <v>678</v>
      </c>
      <c r="D51" s="767" t="str">
        <f>VLOOKUP( $B51, T_Aop[], 6, 1)</f>
        <v xml:space="preserve">  Dobici od derivatnih finansijskih instrumenata</v>
      </c>
      <c r="E51" s="768"/>
      <c r="F51" s="768"/>
      <c r="G51" s="768"/>
      <c r="H51" s="769"/>
      <c r="I51" s="75">
        <f>VLOOKUP( $B51, T_Aop[], 4, 1)</f>
        <v>631</v>
      </c>
      <c r="J51" s="157"/>
      <c r="K51" s="158"/>
      <c r="O51" s="54"/>
    </row>
    <row r="52" spans="2:15" ht="12.75" customHeight="1" x14ac:dyDescent="0.2">
      <c r="B52" s="47">
        <v>383</v>
      </c>
      <c r="C52" s="187">
        <f>VLOOKUP( $B52, T_Aop[], 5, 1)</f>
        <v>52</v>
      </c>
      <c r="D52" s="716" t="str">
        <f>VLOOKUP( $B52, T_Aop[], 6, 1)</f>
        <v>TROŠKOVI PLATA, NAKNADA PLATA I OSTALIH LIČNIH PRIMANJA</v>
      </c>
      <c r="E52" s="717"/>
      <c r="F52" s="717"/>
      <c r="G52" s="717"/>
      <c r="H52" s="718"/>
      <c r="I52" s="178">
        <f>VLOOKUP( $B52, T_Aop[], 4, 1)</f>
        <v>632</v>
      </c>
      <c r="J52" s="81"/>
      <c r="K52" s="82"/>
      <c r="O52" s="27"/>
    </row>
    <row r="53" spans="2:15" ht="12.75" customHeight="1" x14ac:dyDescent="0.2">
      <c r="B53" s="47">
        <v>384</v>
      </c>
      <c r="C53" s="62" t="str">
        <f>VLOOKUP( $B53, T_Aop[], 5, 1)</f>
        <v>522 + 523</v>
      </c>
      <c r="D53" s="767" t="str">
        <f>VLOOKUP( $B53, T_Aop[], 6, 1)</f>
        <v xml:space="preserve">  Troškovi bruto naknada članovima upravnog, nadzornog, odbora za reviziju i dr.</v>
      </c>
      <c r="E53" s="768"/>
      <c r="F53" s="768"/>
      <c r="G53" s="768"/>
      <c r="H53" s="769"/>
      <c r="I53" s="75">
        <f>VLOOKUP( $B53, T_Aop[], 4, 1)</f>
        <v>633</v>
      </c>
      <c r="J53" s="157"/>
      <c r="K53" s="203"/>
      <c r="O53" s="27"/>
    </row>
    <row r="54" spans="2:15" ht="12.75" customHeight="1" x14ac:dyDescent="0.2">
      <c r="B54" s="47">
        <v>385</v>
      </c>
      <c r="C54" s="58">
        <f>VLOOKUP( $B54, T_Aop[], 5, 1)</f>
        <v>525</v>
      </c>
      <c r="D54" s="770" t="str">
        <f>VLOOKUP( $B54, T_Aop[], 6, 1)</f>
        <v xml:space="preserve">  Troškovi zaposlenih na službenom putu</v>
      </c>
      <c r="E54" s="771"/>
      <c r="F54" s="771"/>
      <c r="G54" s="771"/>
      <c r="H54" s="772"/>
      <c r="I54" s="59">
        <f>VLOOKUP( $B54, T_Aop[], 4, 1)</f>
        <v>634</v>
      </c>
      <c r="J54" s="155"/>
      <c r="K54" s="156"/>
      <c r="O54" s="27"/>
    </row>
    <row r="55" spans="2:15" ht="12.75" customHeight="1" x14ac:dyDescent="0.2">
      <c r="B55" s="47">
        <v>386</v>
      </c>
      <c r="C55" s="62" t="str">
        <f>VLOOKUP( $B55, T_Aop[], 5, 1)</f>
        <v>dio 525</v>
      </c>
      <c r="D55" s="767" t="str">
        <f>VLOOKUP( $B55, T_Aop[], 6, 1)</f>
        <v xml:space="preserve">    Od toga: dnevnice</v>
      </c>
      <c r="E55" s="768"/>
      <c r="F55" s="768"/>
      <c r="G55" s="768"/>
      <c r="H55" s="769"/>
      <c r="I55" s="75">
        <f>VLOOKUP( $B55, T_Aop[], 4, 1)</f>
        <v>635</v>
      </c>
      <c r="J55" s="157"/>
      <c r="K55" s="158"/>
      <c r="O55" s="27"/>
    </row>
    <row r="56" spans="2:15" ht="12.75" customHeight="1" x14ac:dyDescent="0.2">
      <c r="B56" s="47">
        <v>387</v>
      </c>
      <c r="C56" s="187">
        <f>VLOOKUP( $B56, T_Aop[], 5, 1)</f>
        <v>53</v>
      </c>
      <c r="D56" s="716" t="str">
        <f>VLOOKUP( $B56, T_Aop[], 6, 1)</f>
        <v>TROŠKOVI PROIZVODNIH USLUGA (637 + 638 + 639 + 640 + 641 + 642 + 643 + 644)</v>
      </c>
      <c r="E56" s="717"/>
      <c r="F56" s="717"/>
      <c r="G56" s="717"/>
      <c r="H56" s="718"/>
      <c r="I56" s="178">
        <f>VLOOKUP( $B56, T_Aop[], 4, 1)</f>
        <v>636</v>
      </c>
      <c r="J56" s="556">
        <f>SUBTOTAL( 9, J57:J64)</f>
        <v>0</v>
      </c>
      <c r="K56" s="489">
        <f>SUBTOTAL( 9, K57:K64)</f>
        <v>0</v>
      </c>
      <c r="O56" s="27"/>
    </row>
    <row r="57" spans="2:15" ht="12.75" customHeight="1" x14ac:dyDescent="0.2">
      <c r="B57" s="47">
        <v>388</v>
      </c>
      <c r="C57" s="62">
        <f>VLOOKUP( $B57, T_Aop[], 5, 1)</f>
        <v>530</v>
      </c>
      <c r="D57" s="767" t="str">
        <f>VLOOKUP( $B57, T_Aop[], 6, 1)</f>
        <v xml:space="preserve">  a) Troškovi usluga na izradi učinaka</v>
      </c>
      <c r="E57" s="768"/>
      <c r="F57" s="768"/>
      <c r="G57" s="768"/>
      <c r="H57" s="769"/>
      <c r="I57" s="75">
        <f>VLOOKUP( $B57, T_Aop[], 4, 1)</f>
        <v>637</v>
      </c>
      <c r="J57" s="157"/>
      <c r="K57" s="158"/>
      <c r="O57" s="27"/>
    </row>
    <row r="58" spans="2:15" x14ac:dyDescent="0.2">
      <c r="B58" s="47">
        <v>389</v>
      </c>
      <c r="C58" s="58">
        <f>VLOOKUP( $B58, T_Aop[], 5, 1)</f>
        <v>531</v>
      </c>
      <c r="D58" s="770" t="str">
        <f>VLOOKUP( $B58, T_Aop[], 6, 1)</f>
        <v xml:space="preserve">  b) Troškovi transportnih usluga</v>
      </c>
      <c r="E58" s="771"/>
      <c r="F58" s="771"/>
      <c r="G58" s="771"/>
      <c r="H58" s="772"/>
      <c r="I58" s="59">
        <f>VLOOKUP( $B58, T_Aop[], 4, 1)</f>
        <v>638</v>
      </c>
      <c r="J58" s="155"/>
      <c r="K58" s="156"/>
      <c r="O58" s="27"/>
    </row>
    <row r="59" spans="2:15" ht="12.75" customHeight="1" x14ac:dyDescent="0.2">
      <c r="B59" s="47">
        <v>390</v>
      </c>
      <c r="C59" s="62" t="str">
        <f>VLOOKUP( $B59, T_Aop[], 5, 1)</f>
        <v>dio 532</v>
      </c>
      <c r="D59" s="767" t="str">
        <f>VLOOKUP( $B59, T_Aop[], 6, 1)</f>
        <v xml:space="preserve">  v) Troškovi za usluge tekućeg održavanja osnovnih sredstava</v>
      </c>
      <c r="E59" s="768"/>
      <c r="F59" s="768"/>
      <c r="G59" s="768"/>
      <c r="H59" s="769"/>
      <c r="I59" s="75">
        <f>VLOOKUP( $B59, T_Aop[], 4, 1)</f>
        <v>639</v>
      </c>
      <c r="J59" s="157"/>
      <c r="K59" s="158"/>
      <c r="O59" s="27"/>
    </row>
    <row r="60" spans="2:15" ht="12.75" customHeight="1" x14ac:dyDescent="0.2">
      <c r="B60" s="47">
        <v>391</v>
      </c>
      <c r="C60" s="58" t="str">
        <f>VLOOKUP( $B60, T_Aop[], 5, 1)</f>
        <v>dio 532</v>
      </c>
      <c r="D60" s="770" t="str">
        <f>VLOOKUP( $B60, T_Aop[], 6, 1)</f>
        <v xml:space="preserve">  g) Troškovi za usluge investicionog održavanja osnovnih sredstava</v>
      </c>
      <c r="E60" s="771"/>
      <c r="F60" s="771"/>
      <c r="G60" s="771"/>
      <c r="H60" s="772"/>
      <c r="I60" s="59">
        <f>VLOOKUP( $B60, T_Aop[], 4, 1)</f>
        <v>640</v>
      </c>
      <c r="J60" s="155"/>
      <c r="K60" s="156"/>
      <c r="O60" s="27"/>
    </row>
    <row r="61" spans="2:15" ht="12.75" customHeight="1" x14ac:dyDescent="0.2">
      <c r="B61" s="47">
        <v>392</v>
      </c>
      <c r="C61" s="62">
        <f>VLOOKUP( $B61, T_Aop[], 5, 1)</f>
        <v>533</v>
      </c>
      <c r="D61" s="767" t="str">
        <f>VLOOKUP( $B61, T_Aop[], 6, 1)</f>
        <v xml:space="preserve">  d) Troškovi zakupa</v>
      </c>
      <c r="E61" s="768"/>
      <c r="F61" s="768"/>
      <c r="G61" s="768"/>
      <c r="H61" s="769"/>
      <c r="I61" s="75">
        <f>VLOOKUP( $B61, T_Aop[], 4, 1)</f>
        <v>641</v>
      </c>
      <c r="J61" s="157"/>
      <c r="K61" s="158"/>
      <c r="O61" s="27"/>
    </row>
    <row r="62" spans="2:15" ht="12.75" customHeight="1" x14ac:dyDescent="0.2">
      <c r="B62" s="47">
        <v>393</v>
      </c>
      <c r="C62" s="58" t="str">
        <f>VLOOKUP( $B62, T_Aop[], 5, 1)</f>
        <v>534 + 535</v>
      </c>
      <c r="D62" s="770" t="str">
        <f>VLOOKUP( $B62, T_Aop[], 6, 1)</f>
        <v xml:space="preserve">  đ) Troškovi sajmova, reklame i propagande</v>
      </c>
      <c r="E62" s="771"/>
      <c r="F62" s="771"/>
      <c r="G62" s="771"/>
      <c r="H62" s="772"/>
      <c r="I62" s="59">
        <f>VLOOKUP( $B62, T_Aop[], 4, 1)</f>
        <v>642</v>
      </c>
      <c r="J62" s="155"/>
      <c r="K62" s="156"/>
      <c r="O62" s="27"/>
    </row>
    <row r="63" spans="2:15" ht="12.75" customHeight="1" x14ac:dyDescent="0.2">
      <c r="B63" s="47">
        <v>394</v>
      </c>
      <c r="C63" s="62" t="str">
        <f>VLOOKUP( $B63, T_Aop[], 5, 1)</f>
        <v>536 + 537</v>
      </c>
      <c r="D63" s="767" t="str">
        <f>VLOOKUP( $B63, T_Aop[], 6, 1)</f>
        <v xml:space="preserve">  e) Troškovi istraživanja i razvoja koji se ne kapitalizuju</v>
      </c>
      <c r="E63" s="768"/>
      <c r="F63" s="768"/>
      <c r="G63" s="768"/>
      <c r="H63" s="769"/>
      <c r="I63" s="75">
        <f>VLOOKUP( $B63, T_Aop[], 4, 1)</f>
        <v>643</v>
      </c>
      <c r="J63" s="157"/>
      <c r="K63" s="158"/>
      <c r="O63" s="27"/>
    </row>
    <row r="64" spans="2:15" x14ac:dyDescent="0.2">
      <c r="B64" s="47">
        <v>395</v>
      </c>
      <c r="C64" s="58">
        <f>VLOOKUP( $B64, T_Aop[], 5, 1)</f>
        <v>539</v>
      </c>
      <c r="D64" s="770" t="str">
        <f>VLOOKUP( $B64, T_Aop[], 6, 1)</f>
        <v xml:space="preserve">  ž) Troškovi ostalih usluga</v>
      </c>
      <c r="E64" s="771"/>
      <c r="F64" s="771"/>
      <c r="G64" s="771"/>
      <c r="H64" s="772"/>
      <c r="I64" s="59">
        <f>VLOOKUP( $B64, T_Aop[], 4, 1)</f>
        <v>644</v>
      </c>
      <c r="J64" s="155"/>
      <c r="K64" s="156"/>
      <c r="O64" s="27"/>
    </row>
    <row r="65" spans="2:15" ht="12.75" customHeight="1" x14ac:dyDescent="0.2">
      <c r="B65" s="47">
        <v>396</v>
      </c>
      <c r="C65" s="62" t="str">
        <f>VLOOKUP( $B65, T_Aop[], 5, 1)</f>
        <v>dio 539</v>
      </c>
      <c r="D65" s="767" t="str">
        <f>VLOOKUP( $B65, T_Aop[], 6, 1)</f>
        <v xml:space="preserve">    Od toga: bruto iznosi naknada po ugovorima sa fizičkim licima van radnog odnosa</v>
      </c>
      <c r="E65" s="768"/>
      <c r="F65" s="768"/>
      <c r="G65" s="768"/>
      <c r="H65" s="769"/>
      <c r="I65" s="75">
        <f>VLOOKUP( $B65, T_Aop[], 4, 1)</f>
        <v>645</v>
      </c>
      <c r="J65" s="157"/>
      <c r="K65" s="158"/>
      <c r="O65" s="27"/>
    </row>
    <row r="66" spans="2:15" ht="12.75" customHeight="1" x14ac:dyDescent="0.2">
      <c r="B66" s="47">
        <v>397</v>
      </c>
      <c r="C66" s="187">
        <f>VLOOKUP( $B66, T_Aop[], 5, 1)</f>
        <v>55</v>
      </c>
      <c r="D66" s="716" t="str">
        <f>VLOOKUP( $B66, T_Aop[], 6, 1)</f>
        <v>NEMATERIJALNI TROŠKOVI (647 + 650 + 651 + 652 + 653 + 654 + 655 + 656)</v>
      </c>
      <c r="E66" s="717"/>
      <c r="F66" s="717"/>
      <c r="G66" s="717"/>
      <c r="H66" s="718"/>
      <c r="I66" s="178">
        <f>VLOOKUP( $B66, T_Aop[], 4, 1)</f>
        <v>646</v>
      </c>
      <c r="J66" s="556">
        <f>SUBTOTAL( 9, J67, J70:J76)</f>
        <v>0</v>
      </c>
      <c r="K66" s="489">
        <f>SUBTOTAL( 9, K67, K70:K76)</f>
        <v>0</v>
      </c>
      <c r="O66" s="27"/>
    </row>
    <row r="67" spans="2:15" ht="12.75" customHeight="1" x14ac:dyDescent="0.2">
      <c r="B67" s="47">
        <v>398</v>
      </c>
      <c r="C67" s="62">
        <f>VLOOKUP( $B67, T_Aop[], 5, 1)</f>
        <v>550</v>
      </c>
      <c r="D67" s="767" t="str">
        <f>VLOOKUP( $B67, T_Aop[], 6, 1)</f>
        <v xml:space="preserve">  a) Troškovi ostalih usluga</v>
      </c>
      <c r="E67" s="768"/>
      <c r="F67" s="768"/>
      <c r="G67" s="768"/>
      <c r="H67" s="769"/>
      <c r="I67" s="75">
        <f>VLOOKUP( $B67, T_Aop[], 4, 1)</f>
        <v>647</v>
      </c>
      <c r="J67" s="157"/>
      <c r="K67" s="158"/>
      <c r="O67" s="27"/>
    </row>
    <row r="68" spans="2:15" ht="12.75" customHeight="1" x14ac:dyDescent="0.2">
      <c r="B68" s="47">
        <v>399</v>
      </c>
      <c r="C68" s="58" t="str">
        <f>VLOOKUP( $B68, T_Aop[], 5, 1)</f>
        <v>dio 550</v>
      </c>
      <c r="D68" s="770" t="str">
        <f>VLOOKUP( $B68, T_Aop[], 6, 1)</f>
        <v xml:space="preserve">    Od toga: troškovi stručnog obrazovanja i usavršavanja zaposlenih</v>
      </c>
      <c r="E68" s="771"/>
      <c r="F68" s="771"/>
      <c r="G68" s="771"/>
      <c r="H68" s="772"/>
      <c r="I68" s="59">
        <f>VLOOKUP( $B68, T_Aop[], 4, 1)</f>
        <v>648</v>
      </c>
      <c r="J68" s="155"/>
      <c r="K68" s="156"/>
      <c r="O68" s="27"/>
    </row>
    <row r="69" spans="2:15" ht="12.75" customHeight="1" x14ac:dyDescent="0.2">
      <c r="B69" s="47">
        <v>400</v>
      </c>
      <c r="C69" s="62" t="str">
        <f>VLOOKUP( $B69, T_Aop[], 5, 1)</f>
        <v>dio 550</v>
      </c>
      <c r="D69" s="767" t="str">
        <f>VLOOKUP( $B69, T_Aop[], 6, 1)</f>
        <v xml:space="preserve">    Od toga: bruto iznosi naknada po ugovorima sa fizičkim licima van radnog odnosa</v>
      </c>
      <c r="E69" s="768"/>
      <c r="F69" s="768"/>
      <c r="G69" s="768"/>
      <c r="H69" s="769"/>
      <c r="I69" s="75">
        <f>VLOOKUP( $B69, T_Aop[], 4, 1)</f>
        <v>649</v>
      </c>
      <c r="J69" s="157"/>
      <c r="K69" s="158"/>
      <c r="O69" s="27"/>
    </row>
    <row r="70" spans="2:15" ht="12.75" customHeight="1" x14ac:dyDescent="0.2">
      <c r="B70" s="47">
        <v>401</v>
      </c>
      <c r="C70" s="58">
        <f>VLOOKUP( $B70, T_Aop[], 5, 1)</f>
        <v>551</v>
      </c>
      <c r="D70" s="770" t="str">
        <f>VLOOKUP( $B70, T_Aop[], 6, 1)</f>
        <v xml:space="preserve">  b) Troškovi reprezentacije</v>
      </c>
      <c r="E70" s="771"/>
      <c r="F70" s="771"/>
      <c r="G70" s="771"/>
      <c r="H70" s="772"/>
      <c r="I70" s="59">
        <f>VLOOKUP( $B70, T_Aop[], 4, 1)</f>
        <v>650</v>
      </c>
      <c r="J70" s="155"/>
      <c r="K70" s="156"/>
      <c r="O70" s="27"/>
    </row>
    <row r="71" spans="2:15" ht="12.75" customHeight="1" x14ac:dyDescent="0.2">
      <c r="B71" s="47">
        <v>402</v>
      </c>
      <c r="C71" s="62">
        <f>VLOOKUP( $B71, T_Aop[], 5, 1)</f>
        <v>552</v>
      </c>
      <c r="D71" s="767" t="str">
        <f>VLOOKUP( $B71, T_Aop[], 6, 1)</f>
        <v xml:space="preserve">  v) Troškovi premije osiguranja</v>
      </c>
      <c r="E71" s="768"/>
      <c r="F71" s="768"/>
      <c r="G71" s="768"/>
      <c r="H71" s="769"/>
      <c r="I71" s="75">
        <f>VLOOKUP( $B71, T_Aop[], 4, 1)</f>
        <v>651</v>
      </c>
      <c r="J71" s="157"/>
      <c r="K71" s="158"/>
      <c r="O71"/>
    </row>
    <row r="72" spans="2:15" ht="12.75" customHeight="1" x14ac:dyDescent="0.2">
      <c r="B72" s="47">
        <v>403</v>
      </c>
      <c r="C72" s="58">
        <f>VLOOKUP( $B72, T_Aop[], 5, 1)</f>
        <v>553</v>
      </c>
      <c r="D72" s="770" t="str">
        <f>VLOOKUP( $B72, T_Aop[], 6, 1)</f>
        <v xml:space="preserve">  g) Troškovi platnog prometa</v>
      </c>
      <c r="E72" s="771"/>
      <c r="F72" s="771"/>
      <c r="G72" s="771"/>
      <c r="H72" s="772"/>
      <c r="I72" s="59">
        <f>VLOOKUP( $B72, T_Aop[], 4, 1)</f>
        <v>652</v>
      </c>
      <c r="J72" s="155"/>
      <c r="K72" s="156"/>
      <c r="O72"/>
    </row>
    <row r="73" spans="2:15" ht="12.75" customHeight="1" x14ac:dyDescent="0.2">
      <c r="B73" s="47">
        <v>404</v>
      </c>
      <c r="C73" s="62">
        <f>VLOOKUP( $B73, T_Aop[], 5, 1)</f>
        <v>554</v>
      </c>
      <c r="D73" s="767" t="str">
        <f>VLOOKUP( $B73, T_Aop[], 6, 1)</f>
        <v xml:space="preserve">  d) Troškovi članarina</v>
      </c>
      <c r="E73" s="768"/>
      <c r="F73" s="768"/>
      <c r="G73" s="768"/>
      <c r="H73" s="769"/>
      <c r="I73" s="75">
        <f>VLOOKUP( $B73, T_Aop[], 4, 1)</f>
        <v>653</v>
      </c>
      <c r="J73" s="157"/>
      <c r="K73" s="158"/>
      <c r="O73"/>
    </row>
    <row r="74" spans="2:15" ht="12.75" customHeight="1" x14ac:dyDescent="0.2">
      <c r="B74" s="47">
        <v>405</v>
      </c>
      <c r="C74" s="58" t="str">
        <f>VLOOKUP( $B74, T_Aop[], 5, 1)</f>
        <v>dio 555</v>
      </c>
      <c r="D74" s="770" t="str">
        <f>VLOOKUP( $B74, T_Aop[], 6, 1)</f>
        <v xml:space="preserve">  đ) Troškovi poreza na proizvode3, carine, boravišne takse, porez na igre na sreću i sl.</v>
      </c>
      <c r="E74" s="771"/>
      <c r="F74" s="771"/>
      <c r="G74" s="771"/>
      <c r="H74" s="772"/>
      <c r="I74" s="59">
        <f>VLOOKUP( $B74, T_Aop[], 4, 1)</f>
        <v>654</v>
      </c>
      <c r="J74" s="155"/>
      <c r="K74" s="156"/>
      <c r="O74" s="27"/>
    </row>
    <row r="75" spans="2:15" ht="25.5" customHeight="1" x14ac:dyDescent="0.2">
      <c r="B75" s="47">
        <v>406</v>
      </c>
      <c r="C75" s="62" t="str">
        <f>VLOOKUP( $B75, T_Aop[], 5, 1)</f>
        <v>dio 555</v>
      </c>
      <c r="D75" s="767" t="str">
        <f>VLOOKUP( $B75, T_Aop[], 6, 1)</f>
        <v xml:space="preserve">  e) Troškovi poreza na proizvodnju4: na imovinu, na zemljište, za korišćenje voda i šuma, za protivpožarnu zaštitu i sl.</v>
      </c>
      <c r="E75" s="768"/>
      <c r="F75" s="768"/>
      <c r="G75" s="768"/>
      <c r="H75" s="769"/>
      <c r="I75" s="75">
        <f>VLOOKUP( $B75, T_Aop[], 4, 1)</f>
        <v>655</v>
      </c>
      <c r="J75" s="157"/>
      <c r="K75" s="158"/>
      <c r="O75" s="27"/>
    </row>
    <row r="76" spans="2:15" ht="12.75" customHeight="1" x14ac:dyDescent="0.2">
      <c r="B76" s="47">
        <v>407</v>
      </c>
      <c r="C76" s="58">
        <f>VLOOKUP( $B76, T_Aop[], 5, 1)</f>
        <v>559</v>
      </c>
      <c r="D76" s="770" t="str">
        <f>VLOOKUP( $B76, T_Aop[], 6, 1)</f>
        <v xml:space="preserve">  ž) Ostali nematerijalni troškovi</v>
      </c>
      <c r="E76" s="771"/>
      <c r="F76" s="771"/>
      <c r="G76" s="771"/>
      <c r="H76" s="772"/>
      <c r="I76" s="59">
        <f>VLOOKUP( $B76, T_Aop[], 4, 1)</f>
        <v>656</v>
      </c>
      <c r="J76" s="155"/>
      <c r="K76" s="156"/>
      <c r="O76" s="27"/>
    </row>
    <row r="77" spans="2:15" ht="12.75" customHeight="1" x14ac:dyDescent="0.2">
      <c r="B77" s="47">
        <v>408</v>
      </c>
      <c r="C77" s="62">
        <f>VLOOKUP( $B77, T_Aop[], 5, 1)</f>
        <v>0</v>
      </c>
      <c r="D77" s="767" t="str">
        <f>VLOOKUP( $B77, T_Aop[], 6, 1)</f>
        <v>OBAVEZE I POTRAŽIVANJA</v>
      </c>
      <c r="E77" s="768"/>
      <c r="F77" s="768"/>
      <c r="G77" s="768"/>
      <c r="H77" s="769"/>
      <c r="I77" s="75">
        <f>VLOOKUP( $B77, T_Aop[], 4, 1)</f>
        <v>657</v>
      </c>
      <c r="J77" s="157"/>
      <c r="K77" s="158"/>
      <c r="O77" s="27"/>
    </row>
    <row r="78" spans="2:15" ht="12.75" customHeight="1" x14ac:dyDescent="0.2">
      <c r="B78" s="47">
        <v>409</v>
      </c>
      <c r="C78" s="58" t="str">
        <f>VLOOKUP( $B78, T_Aop[], 5, 1)</f>
        <v>47, osim 479</v>
      </c>
      <c r="D78" s="770" t="str">
        <f>VLOOKUP( $B78, T_Aop[], 6, 1)</f>
        <v xml:space="preserve">  Obračunati (fakturisani) porez na dodatu vrijednost (kumulativan promet konta)</v>
      </c>
      <c r="E78" s="771"/>
      <c r="F78" s="771"/>
      <c r="G78" s="771"/>
      <c r="H78" s="772"/>
      <c r="I78" s="59">
        <f>VLOOKUP( $B78, T_Aop[], 4, 1)</f>
        <v>658</v>
      </c>
      <c r="J78" s="155"/>
      <c r="K78" s="156"/>
      <c r="O78" s="133" t="s">
        <v>313</v>
      </c>
    </row>
    <row r="79" spans="2:15" ht="12.75" customHeight="1" x14ac:dyDescent="0.2">
      <c r="B79" s="47">
        <v>410</v>
      </c>
      <c r="C79" s="62" t="str">
        <f>VLOOKUP( $B79, T_Aop[], 5, 1)</f>
        <v>27, osim 279</v>
      </c>
      <c r="D79" s="767" t="str">
        <f>VLOOKUP( $B79, T_Aop[], 6, 1)</f>
        <v xml:space="preserve">  Ulazni porez na dodatu vrijednost (kumulativan promet konta)</v>
      </c>
      <c r="E79" s="768"/>
      <c r="F79" s="768"/>
      <c r="G79" s="768"/>
      <c r="H79" s="769"/>
      <c r="I79" s="75">
        <f>VLOOKUP( $B79, T_Aop[], 4, 1)</f>
        <v>659</v>
      </c>
      <c r="J79" s="157"/>
      <c r="K79" s="158"/>
      <c r="O79" s="27"/>
    </row>
    <row r="80" spans="2:15" ht="12.75" customHeight="1" x14ac:dyDescent="0.2">
      <c r="B80" s="47">
        <v>411</v>
      </c>
      <c r="C80" s="58">
        <f>VLOOKUP( $B80, T_Aop[], 5, 1)</f>
        <v>479</v>
      </c>
      <c r="D80" s="770" t="str">
        <f>VLOOKUP( $B80, T_Aop[], 6, 1)</f>
        <v xml:space="preserve">  Obaveze za PDV po osnovu razlike između obračunatog i akontacionog PDV-a (saldo konta)</v>
      </c>
      <c r="E80" s="771"/>
      <c r="F80" s="771"/>
      <c r="G80" s="771"/>
      <c r="H80" s="772"/>
      <c r="I80" s="59">
        <f>VLOOKUP( $B80, T_Aop[], 4, 1)</f>
        <v>660</v>
      </c>
      <c r="J80" s="155"/>
      <c r="K80" s="156"/>
      <c r="O80" s="27"/>
    </row>
    <row r="81" spans="2:15" ht="12.75" customHeight="1" x14ac:dyDescent="0.2">
      <c r="B81" s="47">
        <v>412</v>
      </c>
      <c r="C81" s="62">
        <f>VLOOKUP( $B81, T_Aop[], 5, 1)</f>
        <v>279</v>
      </c>
      <c r="D81" s="767" t="str">
        <f>VLOOKUP( $B81, T_Aop[], 6, 1)</f>
        <v xml:space="preserve">  Potraživanja po osnovu razlike između akontacionog i obračunatog PDV-a (saldo konta)</v>
      </c>
      <c r="E81" s="768"/>
      <c r="F81" s="768"/>
      <c r="G81" s="768"/>
      <c r="H81" s="769"/>
      <c r="I81" s="75">
        <f>VLOOKUP( $B81, T_Aop[], 4, 1)</f>
        <v>661</v>
      </c>
      <c r="J81" s="157"/>
      <c r="K81" s="158"/>
      <c r="O81" s="27"/>
    </row>
    <row r="82" spans="2:15" ht="12.75" customHeight="1" x14ac:dyDescent="0.2">
      <c r="B82" s="47">
        <v>413</v>
      </c>
      <c r="C82" s="58">
        <f>VLOOKUP( $B82, T_Aop[], 5, 1)</f>
        <v>271</v>
      </c>
      <c r="D82" s="770" t="str">
        <f>VLOOKUP( $B82, T_Aop[], 6, 1)</f>
        <v xml:space="preserve">  PDV plaćen pri uvozu (kumulativan promet konta)</v>
      </c>
      <c r="E82" s="771"/>
      <c r="F82" s="771"/>
      <c r="G82" s="771"/>
      <c r="H82" s="772"/>
      <c r="I82" s="59">
        <f>VLOOKUP( $B82, T_Aop[], 4, 1)</f>
        <v>662</v>
      </c>
      <c r="J82" s="155"/>
      <c r="K82" s="156"/>
      <c r="O82" s="27"/>
    </row>
    <row r="83" spans="2:15" ht="12.75" customHeight="1" x14ac:dyDescent="0.2">
      <c r="B83" s="47">
        <v>414</v>
      </c>
      <c r="C83" s="62">
        <f>VLOOKUP( $B83, T_Aop[], 5, 1)</f>
        <v>484</v>
      </c>
      <c r="D83" s="767" t="str">
        <f>VLOOKUP( $B83, T_Aop[], 6, 1)</f>
        <v xml:space="preserve">  Obaveze za PDV plaćen pri uvozu (kumulativan promet konta)</v>
      </c>
      <c r="E83" s="768"/>
      <c r="F83" s="768"/>
      <c r="G83" s="768"/>
      <c r="H83" s="769"/>
      <c r="I83" s="75">
        <f>VLOOKUP( $B83, T_Aop[], 4, 1)</f>
        <v>663</v>
      </c>
      <c r="J83" s="157"/>
      <c r="K83" s="158"/>
      <c r="O83" s="27"/>
    </row>
    <row r="84" spans="2:15" ht="12.75" customHeight="1" x14ac:dyDescent="0.2">
      <c r="B84" s="47">
        <v>415</v>
      </c>
      <c r="C84" s="58">
        <f>VLOOKUP( $B84, T_Aop[], 5, 1)</f>
        <v>480</v>
      </c>
      <c r="D84" s="770" t="str">
        <f>VLOOKUP( $B84, T_Aop[], 6, 1)</f>
        <v xml:space="preserve">  Obaveze za akcize (kumulativan promet konta)</v>
      </c>
      <c r="E84" s="771"/>
      <c r="F84" s="771"/>
      <c r="G84" s="771"/>
      <c r="H84" s="772"/>
      <c r="I84" s="59">
        <f>VLOOKUP( $B84, T_Aop[], 4, 1)</f>
        <v>664</v>
      </c>
      <c r="J84" s="155"/>
      <c r="K84" s="156"/>
      <c r="O84" s="27"/>
    </row>
    <row r="85" spans="2:15" ht="12.75" customHeight="1" x14ac:dyDescent="0.2">
      <c r="B85" s="47">
        <v>416</v>
      </c>
      <c r="C85" s="62" t="str">
        <f>VLOOKUP( $B85, T_Aop[], 5, 1)</f>
        <v>nema konta</v>
      </c>
      <c r="D85" s="767" t="str">
        <f>VLOOKUP( $B85, T_Aop[], 6, 1)</f>
        <v xml:space="preserve">  Prihodi ostvareni na bazi podugovaranja</v>
      </c>
      <c r="E85" s="768"/>
      <c r="F85" s="768"/>
      <c r="G85" s="768"/>
      <c r="H85" s="769"/>
      <c r="I85" s="75">
        <f>VLOOKUP( $B85, T_Aop[], 4, 1)</f>
        <v>665</v>
      </c>
      <c r="J85" s="157"/>
      <c r="K85" s="158"/>
      <c r="O85" s="27"/>
    </row>
    <row r="86" spans="2:15" ht="12.75" customHeight="1" x14ac:dyDescent="0.2">
      <c r="B86" s="47">
        <v>417</v>
      </c>
      <c r="C86" s="58" t="str">
        <f>VLOOKUP( $B86, T_Aop[], 5, 1)</f>
        <v>nema konta</v>
      </c>
      <c r="D86" s="770" t="str">
        <f>VLOOKUP( $B86, T_Aop[], 6, 1)</f>
        <v xml:space="preserve">  Plaćanja podugovaračima za rad, isporučene proizvode i usluge</v>
      </c>
      <c r="E86" s="771"/>
      <c r="F86" s="771"/>
      <c r="G86" s="771"/>
      <c r="H86" s="772"/>
      <c r="I86" s="59">
        <f>VLOOKUP( $B86, T_Aop[], 4, 1)</f>
        <v>666</v>
      </c>
      <c r="J86" s="155"/>
      <c r="K86" s="156"/>
      <c r="O86" s="27"/>
    </row>
    <row r="87" spans="2:15" ht="12.75" customHeight="1" x14ac:dyDescent="0.2">
      <c r="B87" s="47">
        <v>418</v>
      </c>
      <c r="C87" s="543" t="str">
        <f>VLOOKUP( $B87, T_Aop[], 5, 1)</f>
        <v>nema konta</v>
      </c>
      <c r="D87" s="775" t="str">
        <f>VLOOKUP( $B87, T_Aop[], 6, 1)</f>
        <v xml:space="preserve">  Ukupan broj odrađenih časova rada (efektivni časovi rada bez bolovanja, godišnjih odmora, državnih praznika i sl.)</v>
      </c>
      <c r="E87" s="776"/>
      <c r="F87" s="776"/>
      <c r="G87" s="776"/>
      <c r="H87" s="777"/>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65" t="str">
        <f>Prevod!G107</f>
        <v>1 Subvencije na proizvode obuhvataju subvencije koje se mogu iskazati po jedinici proizvoda, tj. iznos ovih subvencija zavisi od obima proizvodnje (npr. vozna karta, brašno, hljeb, mlijeko i sl.).</v>
      </c>
      <c r="D89" s="765"/>
      <c r="E89" s="765"/>
      <c r="F89" s="765"/>
      <c r="G89" s="765"/>
      <c r="H89" s="765"/>
      <c r="I89" s="765"/>
      <c r="J89" s="765"/>
      <c r="K89" s="765"/>
      <c r="O89" s="27"/>
    </row>
    <row r="90" spans="2:15" ht="21.75" customHeight="1" x14ac:dyDescent="0.2">
      <c r="B90" s="47">
        <v>420</v>
      </c>
      <c r="C90" s="765" t="str">
        <f>Prevod!G108</f>
        <v>2 Subvencije na proizvodnju obuhvataju subvencije koje se ne mogu iskazati po jedinici proizvoda ili usluge  (npr. zapošljavanje, platu, kamatnu stopu, za smanjenje zagađenja i sl.).</v>
      </c>
      <c r="D90" s="765"/>
      <c r="E90" s="765"/>
      <c r="F90" s="765"/>
      <c r="G90" s="765"/>
      <c r="H90" s="765"/>
      <c r="I90" s="765"/>
      <c r="J90" s="765"/>
      <c r="K90" s="765"/>
      <c r="O90" s="27"/>
    </row>
    <row r="91" spans="2:15" ht="23.25" customHeight="1" x14ac:dyDescent="0.2">
      <c r="B91" s="47">
        <v>421</v>
      </c>
      <c r="C91" s="765" t="str">
        <f>Prevod!G109</f>
        <v>3 Porezi na proizvode zavise od količine ili vrijednosti proizvedenih dobara i usluga (npr. carine, boravišne takse, porez na igre na sreću i sl.).</v>
      </c>
      <c r="D91" s="765"/>
      <c r="E91" s="765"/>
      <c r="F91" s="765"/>
      <c r="G91" s="765"/>
      <c r="H91" s="765"/>
      <c r="I91" s="765"/>
      <c r="J91" s="765"/>
      <c r="K91" s="765"/>
      <c r="O91" s="27"/>
    </row>
    <row r="92" spans="2:15" ht="21.75" customHeight="1" x14ac:dyDescent="0.2">
      <c r="B92" s="47">
        <v>422</v>
      </c>
      <c r="C92" s="76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5"/>
      <c r="E92" s="765"/>
      <c r="F92" s="765"/>
      <c r="G92" s="765"/>
      <c r="H92" s="765"/>
      <c r="I92" s="765"/>
      <c r="J92" s="765"/>
      <c r="K92" s="765"/>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60" t="str">
        <f>Podnozje_Direktor</f>
        <v>Lice ovlašćeno za zastupanje:</v>
      </c>
      <c r="K94" s="760"/>
      <c r="L94" s="760"/>
    </row>
    <row r="95" spans="2:15" x14ac:dyDescent="0.2">
      <c r="C95" s="28"/>
      <c r="D95" s="127"/>
      <c r="E95"/>
      <c r="F95" s="13" t="str">
        <f>Podnozje_Broj_licence</f>
        <v>Broj licence:</v>
      </c>
      <c r="G95" s="13" t="str">
        <f>Podatak_Broj_Licence</f>
        <v>0029/24</v>
      </c>
      <c r="H95" s="78"/>
      <c r="I95" s="78"/>
      <c r="J95" s="761" t="str">
        <f>Podatak_Direktor</f>
        <v>Aco Stanišić ma. ecc</v>
      </c>
      <c r="K95" s="761"/>
      <c r="L95" s="9"/>
    </row>
    <row r="96" spans="2:15" x14ac:dyDescent="0.2">
      <c r="C96" s="180" t="str">
        <f>Podnozje_Dana</f>
        <v>Dana:</v>
      </c>
      <c r="D96" s="417" t="str">
        <f>Podatak_Dana</f>
        <v>31.10.2024.</v>
      </c>
      <c r="E96"/>
      <c r="F96" s="690"/>
      <c r="G96" s="690"/>
      <c r="J96" s="690"/>
      <c r="K96" s="690"/>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30.09.2024. godine</v>
      </c>
      <c r="D57" s="53" t="str">
        <f>CONCATENATE("нa дaн ",Datum_Format," гoдинe")</f>
        <v>нa дaн 30.09.2024. гoдинe</v>
      </c>
      <c r="E57" s="53" t="str">
        <f>CONCATENATE("date ",Datum_Format)</f>
        <v>date 30.09.2024.</v>
      </c>
      <c r="F57" s="53" t="str">
        <f>CONCATENATE("на дату ",Datum_Format," года")</f>
        <v>на дату 30.09.2024. года</v>
      </c>
      <c r="G57" s="3" t="str">
        <f t="shared" si="5"/>
        <v>na dan 30.09.2024. godine</v>
      </c>
      <c r="H57" s="3" t="str">
        <f t="shared" si="6"/>
        <v>Datumi_Datum_BS</v>
      </c>
      <c r="I57" s="3">
        <f t="shared" si="4"/>
        <v>1</v>
      </c>
    </row>
    <row r="58" spans="1:9" x14ac:dyDescent="0.2">
      <c r="A58" t="s">
        <v>260</v>
      </c>
      <c r="B58" t="s">
        <v>148</v>
      </c>
      <c r="C58" s="53" t="str">
        <f>CONCATENATE("za period od 01.01. do ",Datum_Format," godine")</f>
        <v>za period od 01.01. do 30.09.2024. godine</v>
      </c>
      <c r="D58" s="53" t="str">
        <f>CONCATENATE("зa пeриoд oд 01.01. дo ",Datum_Format," гoдинe")</f>
        <v>зa пeриoд oд 01.01. дo 30.09.2024. гoдинe</v>
      </c>
      <c r="E58" s="53" t="str">
        <f>CONCATENATE("from 01.01. to ",Datum_Format)</f>
        <v>from 01.01. to 30.09.2024.</v>
      </c>
      <c r="F58" s="53" t="str">
        <f>CONCATENATE("за период с 01.01. to ",Datum_Format," года")</f>
        <v>за период с 01.01. to 30.09.2024. года</v>
      </c>
      <c r="G58" s="3" t="str">
        <f t="shared" si="5"/>
        <v>za period od 01.01. do 30.09.2024. godine</v>
      </c>
      <c r="H58" s="3" t="str">
        <f t="shared" si="6"/>
        <v>Datumi_Datum_BU</v>
      </c>
      <c r="I58" s="3">
        <f t="shared" si="4"/>
        <v>1</v>
      </c>
    </row>
    <row r="59" spans="1:9" x14ac:dyDescent="0.2">
      <c r="A59" t="s">
        <v>260</v>
      </c>
      <c r="B59" t="s">
        <v>149</v>
      </c>
      <c r="C59" s="53" t="str">
        <f>CONCATENATE("za period od 01.01. do ",Datum_Format," godine")</f>
        <v>za period od 01.01. do 30.09.2024. godine</v>
      </c>
      <c r="D59" s="53" t="str">
        <f>CONCATENATE("зa пeриoд oд 01.01. дo ",Datum_Format," гoдинe")</f>
        <v>зa пeриoд oд 01.01. дo 30.09.2024. гoдинe</v>
      </c>
      <c r="E59" s="53" t="str">
        <f>CONCATENATE("from 01.01. to ",Datum_Format)</f>
        <v>from 01.01. to 30.09.2024.</v>
      </c>
      <c r="F59" s="53" t="str">
        <f>CONCATENATE("за период с 01.01. to ",Datum_Format," года")</f>
        <v>за период с 01.01. to 30.09.2024. года</v>
      </c>
      <c r="G59" s="3" t="str">
        <f t="shared" si="5"/>
        <v>za period od 01.01. do 30.09.2024. godine</v>
      </c>
      <c r="H59" s="3" t="str">
        <f t="shared" si="6"/>
        <v>Datumi_Datum_BTG</v>
      </c>
      <c r="I59" s="3">
        <f t="shared" si="4"/>
        <v>1</v>
      </c>
    </row>
    <row r="60" spans="1:9" x14ac:dyDescent="0.2">
      <c r="A60" t="s">
        <v>260</v>
      </c>
      <c r="B60" t="s">
        <v>159</v>
      </c>
      <c r="C60" s="53" t="str">
        <f>CONCATENATE("od 01.01. do ",Datum_Format," godine")</f>
        <v>od 01.01. do 30.09.2024. godine</v>
      </c>
      <c r="D60" s="53" t="str">
        <f>CONCATENATE("oд 01.01. дo ",Datum_Format," гoдинe")</f>
        <v>oд 01.01. дo 30.09.2024. гoдинe</v>
      </c>
      <c r="E60" s="53" t="str">
        <f>CONCATENATE("from 01.01. to ",Datum_Format)</f>
        <v>from 01.01. to 30.09.2024.</v>
      </c>
      <c r="F60" s="53" t="str">
        <f>CONCATENATE("с 01.01. to ",Datum_Format," года")</f>
        <v>с 01.01. to 30.09.2024. года</v>
      </c>
      <c r="G60" s="3" t="str">
        <f t="shared" si="5"/>
        <v>od 01.01. do 30.09.2024. godine</v>
      </c>
      <c r="H60" s="3" t="str">
        <f t="shared" si="6"/>
        <v>Datumi_Datum_ODGP</v>
      </c>
      <c r="I60" s="3">
        <f t="shared" si="4"/>
        <v>1</v>
      </c>
    </row>
    <row r="61" spans="1:9" x14ac:dyDescent="0.2">
      <c r="A61" t="s">
        <v>260</v>
      </c>
      <c r="B61" t="s">
        <v>160</v>
      </c>
      <c r="C61" s="53" t="str">
        <f>CONCATENATE("za period od 01.01. do ",Datum_Format," godine")</f>
        <v>za period od 01.01. do 30.09.2024. godine</v>
      </c>
      <c r="D61" s="53" t="str">
        <f>CONCATENATE("зa пeриoд oд 01.01. дo ",Datum_Format," гoдинe")</f>
        <v>зa пeриoд oд 01.01. дo 30.09.2024. гoдинe</v>
      </c>
      <c r="E61" s="53" t="str">
        <f>CONCATENATE("from 01.01. to ",Datum_Format)</f>
        <v>from 01.01. to 30.09.2024.</v>
      </c>
      <c r="F61" s="53" t="str">
        <f>CONCATENATE("за период с 01.01. to ",Datum_Format," года")</f>
        <v>за период с 01.01. to 30.09.2024. года</v>
      </c>
      <c r="G61" s="3" t="str">
        <f t="shared" si="5"/>
        <v>za period od 01.01. do 30.09.2024.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30.09.2024. godine</v>
      </c>
      <c r="D62" s="53" t="str">
        <f>CONCATENATE("зa пeриoд кojи сe зaвршaвa нa дaн ",Datum_Format," гoдинe")</f>
        <v>зa пeриoд кojи сe зaвршaвa нa дaн 30.09.2024. гoдинe</v>
      </c>
      <c r="E62" s="53" t="str">
        <f>CONCATENATE("for period ending ",Datum_Format)</f>
        <v>for period ending 30.09.2024.</v>
      </c>
      <c r="F62" s="53" t="str">
        <f>CONCATENATE("за период, закончившийся на дату ",Datum_Format," года")</f>
        <v>за период, закончившийся на дату 30.09.2024. года</v>
      </c>
      <c r="G62" s="3" t="str">
        <f t="shared" si="5"/>
        <v>za period koji se završava na dan 30.09.2024.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30.09.2024. godine (916 ± 919 ± 920  - 921 - 922± 923 ± 924)</v>
      </c>
      <c r="G453" s="305" t="str">
        <f>CONCATENATE("25. Stanje na dan ",Datum_Format," godine (916 ± 919 ± 920  - 921 - 922± 923 ± 924)")</f>
        <v>25. Stanje na dan 30.09.2024. godine (916 ± 919 ± 920  - 921 - 922± 923 ± 924)</v>
      </c>
      <c r="H453" s="305" t="str">
        <f>CONCATENATE("25. Стање на дан ",Datum_Format," године (916 ± 919 ± 920  - 921 - 922± 923 ± 924)")</f>
        <v>25. Стање на дан 30.09.2024. године (916 ± 919 ± 920  - 921 - 922± 923 ± 924)</v>
      </c>
      <c r="I453" s="305" t="str">
        <f>CONCATENATE("25. Value on day ",  Podesavanja!$Y$3,"(916 ± 919 ± 920  - 921 - 922± 923 ± 924)")</f>
        <v>25. Value on day 30.09.2024(916 ± 919 ± 920  - 921 - 922± 923 ± 924)</v>
      </c>
      <c r="J453" s="305" t="str">
        <f>CONCATENATE("25. Состояние на дату ",  ,Datum_Format," года (916 ± 919 ± 920  - 921 - 922± 923 ± 924)")</f>
        <v>25. Состояние на дату 30.09.2024. года (916 ± 919 ± 920  - 921 - 922± 923 ± 924)</v>
      </c>
      <c r="K453" s="291" t="s">
        <v>1625</v>
      </c>
      <c r="L453" s="291" t="s">
        <v>1625</v>
      </c>
      <c r="M453" s="291" t="s">
        <v>1625</v>
      </c>
      <c r="N453" s="291"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9" activePane="bottomLeft" state="frozen"/>
      <selection activeCell="S33" sqref="S33"/>
      <selection pane="bottomLeft" activeCell="L57" sqref="L57"/>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7" t="str">
        <f>Zaglavlje_Naziv_preduzeca</f>
        <v xml:space="preserve">Naziv privrednog društva, zadruge, drugog pravnog lica ili preduzetnika: </v>
      </c>
      <c r="E5" s="647"/>
      <c r="F5" s="647"/>
      <c r="O5" s="15" t="s">
        <v>786</v>
      </c>
      <c r="P5" s="671" t="str">
        <f>Podatak_MB</f>
        <v>01814788</v>
      </c>
      <c r="Q5" s="671"/>
    </row>
    <row r="6" spans="3:17" x14ac:dyDescent="0.2">
      <c r="D6" s="647"/>
      <c r="E6" s="647"/>
      <c r="F6" s="647"/>
      <c r="Q6" s="242" t="str">
        <f>Zaglavlje_MB</f>
        <v>Matični broj</v>
      </c>
    </row>
    <row r="7" spans="3:17" ht="15" customHeight="1" x14ac:dyDescent="0.2">
      <c r="D7" s="667" t="str">
        <f>Podatak_Naziv_preduzeca</f>
        <v>Elektrodistribucija a.d. Pale</v>
      </c>
      <c r="E7" s="667"/>
      <c r="F7" s="667"/>
      <c r="P7" s="671" t="str">
        <f>Podatak_Sifra_djelatnosti</f>
        <v>35.13</v>
      </c>
      <c r="Q7" s="671"/>
    </row>
    <row r="8" spans="3:17" x14ac:dyDescent="0.2">
      <c r="D8" s="125" t="str">
        <f>Zaglavlje_Sjediste</f>
        <v>Sjedište:</v>
      </c>
      <c r="E8" s="624" t="str">
        <f>Podatak_Sjediste</f>
        <v>Pale</v>
      </c>
      <c r="F8" s="624"/>
      <c r="Q8" s="242" t="str">
        <f>Zaglavlje_Sifra_djelatnosti</f>
        <v>Šifra djelatnosti</v>
      </c>
    </row>
    <row r="9" spans="3:17" x14ac:dyDescent="0.2">
      <c r="D9" s="666" t="str">
        <f>Zaglavlje_Ziro_racun</f>
        <v>Račun kod ovlašćene organizacije za platni promet:</v>
      </c>
      <c r="E9" s="666"/>
      <c r="F9" s="666"/>
      <c r="H9" s="14"/>
      <c r="Q9" s="391" t="str">
        <f>Podatak_JIB</f>
        <v>4400570050004</v>
      </c>
    </row>
    <row r="10" spans="3:17" x14ac:dyDescent="0.2">
      <c r="D10" s="670" t="str">
        <f>Podatak_Ziro_racun_1</f>
        <v>562-012-00002669-48</v>
      </c>
      <c r="E10" s="670"/>
      <c r="F10" s="670"/>
      <c r="Q10" s="242" t="str">
        <f>Zaglavlje_JIB</f>
        <v>JIB</v>
      </c>
    </row>
    <row r="11" spans="3:17" x14ac:dyDescent="0.2">
      <c r="C11" s="256"/>
      <c r="D11" s="670" t="str">
        <f>Podatak_Ziro_racun_2</f>
        <v>555-002-00004363-23</v>
      </c>
      <c r="E11" s="670"/>
      <c r="F11" s="670"/>
      <c r="H11" s="14"/>
    </row>
    <row r="12" spans="3:17" x14ac:dyDescent="0.2">
      <c r="C12" s="256"/>
      <c r="D12" s="719" t="str">
        <f>Podatak_Ziro_racun_3</f>
        <v>567-491-10000002-86</v>
      </c>
      <c r="E12" s="719"/>
      <c r="F12" s="719"/>
    </row>
    <row r="13" spans="3:17" x14ac:dyDescent="0.2">
      <c r="C13" s="256"/>
      <c r="D13" s="719" t="str">
        <f>Podatak_Ziro_racun_4</f>
        <v/>
      </c>
      <c r="E13" s="719"/>
      <c r="F13" s="719"/>
      <c r="H13" s="18"/>
      <c r="I13" s="18"/>
      <c r="J13" s="18"/>
      <c r="K13" s="19"/>
      <c r="L13" s="19"/>
      <c r="M13" s="19"/>
      <c r="N13" s="19"/>
      <c r="O13" s="18"/>
      <c r="P13"/>
      <c r="Q13"/>
    </row>
    <row r="14" spans="3:17" ht="15.75" x14ac:dyDescent="0.2">
      <c r="C14" s="256"/>
      <c r="D14" s="625" t="str">
        <f>IF( Id_Konsolidovani, Nazivi_bilansa_Konsolidovani_naziv &amp; LOWER( Nazivi_bilansa_BPK), Nazivi_bilansa_BPK)</f>
        <v>IZVJEŠTAJ O PROMJENAMA NA KAPITALU</v>
      </c>
      <c r="E14" s="625"/>
      <c r="F14" s="625"/>
      <c r="G14" s="625"/>
      <c r="H14" s="625"/>
      <c r="I14" s="625"/>
      <c r="J14" s="625"/>
      <c r="K14" s="625"/>
      <c r="L14" s="625"/>
      <c r="M14" s="625"/>
      <c r="N14" s="625"/>
      <c r="O14" s="625"/>
      <c r="P14" s="625"/>
      <c r="Q14" s="625"/>
    </row>
    <row r="15" spans="3:17" x14ac:dyDescent="0.2">
      <c r="C15" s="256"/>
      <c r="D15" s="663" t="str">
        <f>Datumi_Datum_BPK</f>
        <v>za period koji se završava na dan 30.09.2024. godine</v>
      </c>
      <c r="E15" s="663"/>
      <c r="F15" s="663"/>
      <c r="G15" s="663"/>
      <c r="H15" s="663"/>
      <c r="I15" s="663"/>
      <c r="J15" s="663"/>
      <c r="K15" s="663"/>
      <c r="L15" s="663"/>
      <c r="M15" s="663"/>
      <c r="N15" s="663"/>
      <c r="O15" s="663"/>
      <c r="P15" s="663"/>
      <c r="Q15" s="663"/>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807" t="str">
        <f>Tabele_zaglavlje_BPK1</f>
        <v>VRSTA PROMJENE NA KAPITALU</v>
      </c>
      <c r="E17" s="808"/>
      <c r="F17" s="809"/>
      <c r="G17" s="799" t="str">
        <f>Tabele_zaglavlje_Oznaka_aop</f>
        <v>Oznaka za AOP</v>
      </c>
      <c r="H17" s="800" t="str">
        <f>Tabele_zaglavlje_BPK0</f>
        <v>KAPITAL KOJI PRIPADA VLASNICIMA MATIČNOG DRUŠTVA</v>
      </c>
      <c r="I17" s="801"/>
      <c r="J17" s="801"/>
      <c r="K17" s="801"/>
      <c r="L17" s="801"/>
      <c r="M17" s="801"/>
      <c r="N17" s="801"/>
      <c r="O17" s="802"/>
      <c r="P17" s="803" t="str">
        <f>Tabele_zaglavlje_BPK11</f>
        <v>UDJELI KOJI NEMAJU KONTROLU (MANJINSKI INTERESI)</v>
      </c>
      <c r="Q17" s="805" t="str" cm="1">
        <f t="array" ref="Q17">Tabele_zaglavlje_BPK12</f>
        <v>UKUPNI KAPITAL
(10+11)</v>
      </c>
    </row>
    <row r="18" spans="2:19" ht="106.5" customHeight="1" x14ac:dyDescent="0.2">
      <c r="C18" s="256"/>
      <c r="D18" s="810"/>
      <c r="E18" s="811"/>
      <c r="F18" s="685"/>
      <c r="G18" s="665"/>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804"/>
      <c r="Q18" s="806"/>
      <c r="S18" s="134" t="s">
        <v>490</v>
      </c>
    </row>
    <row r="19" spans="2:19" x14ac:dyDescent="0.2">
      <c r="B19" s="44" t="s">
        <v>123</v>
      </c>
      <c r="C19" s="256"/>
      <c r="D19" s="796">
        <v>1</v>
      </c>
      <c r="E19" s="797"/>
      <c r="F19" s="798"/>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785" t="str">
        <f>VLOOKUP($B20,Aop!$A$2:$M$453,6,1)</f>
        <v/>
      </c>
      <c r="E20" s="786"/>
      <c r="F20" s="787"/>
      <c r="G20" s="185">
        <f>VLOOKUP($B20,Aop!$A$2:$M$453,4,1)</f>
        <v>0</v>
      </c>
      <c r="H20" s="64"/>
      <c r="I20" s="64"/>
      <c r="J20" s="64"/>
      <c r="K20" s="64"/>
      <c r="L20" s="64"/>
      <c r="M20" s="64"/>
      <c r="N20" s="64"/>
      <c r="O20" s="64"/>
      <c r="P20" s="64"/>
      <c r="Q20" s="463"/>
    </row>
    <row r="21" spans="2:19" ht="12.75" customHeight="1" x14ac:dyDescent="0.2">
      <c r="B21" s="47">
        <v>420</v>
      </c>
      <c r="C21" s="256"/>
      <c r="D21" s="790" t="str">
        <f>VLOOKUP($B21,Aop!$A$2:$M$453,6,1)</f>
        <v>1. Stanje na dan 01.01.2023. god.</v>
      </c>
      <c r="E21" s="791"/>
      <c r="F21" s="792"/>
      <c r="G21" s="178">
        <f>VLOOKUP($B21,Aop!$A$2:$M$453,4,1)</f>
        <v>901</v>
      </c>
      <c r="H21" s="587">
        <v>15795899</v>
      </c>
      <c r="I21" s="587">
        <v>0</v>
      </c>
      <c r="J21" s="587">
        <v>9006386</v>
      </c>
      <c r="K21" s="587">
        <v>29859808</v>
      </c>
      <c r="L21" s="587">
        <v>0</v>
      </c>
      <c r="M21" s="587">
        <v>0</v>
      </c>
      <c r="N21" s="587">
        <v>36690262</v>
      </c>
      <c r="O21" s="60">
        <f t="shared" ref="O21:O51" si="0">SUM(H21:N21)</f>
        <v>91352355</v>
      </c>
      <c r="P21" s="81"/>
      <c r="Q21" s="464">
        <f t="shared" ref="Q21:Q51" si="1">SUM(O21:P21)</f>
        <v>91352355</v>
      </c>
    </row>
    <row r="22" spans="2:19" ht="7.5" customHeight="1" x14ac:dyDescent="0.2">
      <c r="B22" s="47">
        <v>421</v>
      </c>
      <c r="C22" s="256"/>
      <c r="D22" s="782" t="str">
        <f>VLOOKUP($B22,Aop!$A$2:$M$453,6,1)</f>
        <v/>
      </c>
      <c r="E22" s="783"/>
      <c r="F22" s="784"/>
      <c r="G22" s="75">
        <f>VLOOKUP($B22,Aop!$A$2:$M$453,4,1)</f>
        <v>0</v>
      </c>
      <c r="H22" s="64"/>
      <c r="I22" s="64"/>
      <c r="J22" s="64"/>
      <c r="K22" s="64"/>
      <c r="L22" s="64"/>
      <c r="M22" s="64"/>
      <c r="N22" s="64"/>
      <c r="O22" s="64"/>
      <c r="P22" s="64"/>
      <c r="Q22" s="463"/>
    </row>
    <row r="23" spans="2:19" ht="15" customHeight="1" x14ac:dyDescent="0.2">
      <c r="B23" s="47">
        <v>422</v>
      </c>
      <c r="C23" s="256"/>
      <c r="D23" s="793" t="str">
        <f>VLOOKUP($B23,Aop!$A$2:$M$453,6,1)</f>
        <v xml:space="preserve">    2. Efekti promjena u računovodstvenim politikama </v>
      </c>
      <c r="E23" s="794"/>
      <c r="F23" s="795"/>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82" t="str">
        <f>VLOOKUP($B24,Aop!$A$2:$M$453,6,1)</f>
        <v xml:space="preserve">    3. Efekti ispravki grešaka</v>
      </c>
      <c r="E24" s="783"/>
      <c r="F24" s="784"/>
      <c r="G24" s="75">
        <f>VLOOKUP($B24,Aop!$A$2:$M$453,4,1)</f>
        <v>903</v>
      </c>
      <c r="H24" s="157"/>
      <c r="I24" s="157"/>
      <c r="J24" s="588">
        <v>156447</v>
      </c>
      <c r="K24" s="588"/>
      <c r="L24" s="588"/>
      <c r="M24" s="588"/>
      <c r="N24" s="588">
        <v>-156447</v>
      </c>
      <c r="O24" s="154">
        <f t="shared" si="0"/>
        <v>0</v>
      </c>
      <c r="P24" s="157"/>
      <c r="Q24" s="465">
        <f t="shared" si="1"/>
        <v>0</v>
      </c>
    </row>
    <row r="25" spans="2:19" ht="23.25" customHeight="1" x14ac:dyDescent="0.2">
      <c r="B25" s="47">
        <v>424</v>
      </c>
      <c r="C25" s="256"/>
      <c r="D25" s="790" t="str">
        <f>VLOOKUP($B25,Aop!$A$2:$M$453,6,1)</f>
        <v xml:space="preserve">  4. Ponovo iskazano stanje na dan 01.01.2023. god. (901 ± 902 ± 903)</v>
      </c>
      <c r="E25" s="791"/>
      <c r="F25" s="792"/>
      <c r="G25" s="178">
        <f>VLOOKUP($B25,Aop!$A$2:$M$453,4,1)</f>
        <v>904</v>
      </c>
      <c r="H25" s="60">
        <f>SUM(H21:H24)</f>
        <v>15795899</v>
      </c>
      <c r="I25" s="60">
        <f t="shared" ref="I25:P25" si="2">SUM(I21:I24)</f>
        <v>0</v>
      </c>
      <c r="J25" s="60">
        <f t="shared" si="2"/>
        <v>9162833</v>
      </c>
      <c r="K25" s="60">
        <f t="shared" si="2"/>
        <v>29859808</v>
      </c>
      <c r="L25" s="60">
        <f t="shared" si="2"/>
        <v>0</v>
      </c>
      <c r="M25" s="60">
        <f t="shared" si="2"/>
        <v>0</v>
      </c>
      <c r="N25" s="60">
        <f t="shared" si="2"/>
        <v>36533815</v>
      </c>
      <c r="O25" s="60">
        <f>SUM(H25:N25)</f>
        <v>91352355</v>
      </c>
      <c r="P25" s="60">
        <f t="shared" si="2"/>
        <v>0</v>
      </c>
      <c r="Q25" s="464">
        <f t="shared" si="1"/>
        <v>91352355</v>
      </c>
      <c r="S25" s="133" t="s">
        <v>313</v>
      </c>
    </row>
    <row r="26" spans="2:19" ht="8.25" customHeight="1" x14ac:dyDescent="0.2">
      <c r="B26" s="47">
        <v>425</v>
      </c>
      <c r="C26" s="256"/>
      <c r="D26" s="782" t="str">
        <f>VLOOKUP($B26,Aop!$A$2:$M$453,6,1)</f>
        <v/>
      </c>
      <c r="E26" s="783"/>
      <c r="F26" s="784"/>
      <c r="G26" s="75">
        <f>VLOOKUP($B26,Aop!$A$2:$M$453,4,1)</f>
        <v>0</v>
      </c>
      <c r="H26" s="64"/>
      <c r="I26" s="64"/>
      <c r="J26" s="64"/>
      <c r="K26" s="64"/>
      <c r="L26" s="64"/>
      <c r="M26" s="64"/>
      <c r="N26" s="64"/>
      <c r="O26" s="64"/>
      <c r="P26" s="64"/>
      <c r="Q26" s="463"/>
      <c r="S26" s="133" t="s">
        <v>313</v>
      </c>
    </row>
    <row r="27" spans="2:19" ht="15" customHeight="1" x14ac:dyDescent="0.2">
      <c r="B27" s="47">
        <v>426</v>
      </c>
      <c r="C27" s="256"/>
      <c r="D27" s="793" t="str">
        <f>VLOOKUP($B27,Aop!$A$2:$M$453,6,1)</f>
        <v xml:space="preserve">    5. Dobit/(gubitak) za godinu</v>
      </c>
      <c r="E27" s="794"/>
      <c r="F27" s="795"/>
      <c r="G27" s="59">
        <f>VLOOKUP($B27,Aop!$A$2:$M$453,4,1)</f>
        <v>905</v>
      </c>
      <c r="H27" s="155"/>
      <c r="I27" s="155"/>
      <c r="J27" s="155"/>
      <c r="K27" s="589"/>
      <c r="L27" s="589"/>
      <c r="M27" s="589"/>
      <c r="N27" s="589">
        <v>644331</v>
      </c>
      <c r="O27" s="153">
        <f t="shared" si="0"/>
        <v>644331</v>
      </c>
      <c r="P27" s="155"/>
      <c r="Q27" s="466">
        <f t="shared" si="1"/>
        <v>644331</v>
      </c>
    </row>
    <row r="28" spans="2:19" ht="15" customHeight="1" x14ac:dyDescent="0.2">
      <c r="B28" s="47">
        <v>427</v>
      </c>
      <c r="C28" s="256"/>
      <c r="D28" s="782" t="str">
        <f>VLOOKUP($B28,Aop!$A$2:$M$453,6,1)</f>
        <v xml:space="preserve">    6. Ostali ukupni rezultat za godinu</v>
      </c>
      <c r="E28" s="783"/>
      <c r="F28" s="784"/>
      <c r="G28" s="75">
        <f>VLOOKUP($B28,Aop!$A$2:$M$453,4,1)</f>
        <v>906</v>
      </c>
      <c r="H28" s="157"/>
      <c r="I28" s="157"/>
      <c r="J28" s="157"/>
      <c r="K28" s="588">
        <v>-2320090</v>
      </c>
      <c r="L28" s="588"/>
      <c r="M28" s="588"/>
      <c r="N28" s="588">
        <v>2320090</v>
      </c>
      <c r="O28" s="154">
        <f t="shared" si="0"/>
        <v>0</v>
      </c>
      <c r="P28" s="157"/>
      <c r="Q28" s="465">
        <f t="shared" si="1"/>
        <v>0</v>
      </c>
    </row>
    <row r="29" spans="2:19" ht="15" customHeight="1" x14ac:dyDescent="0.2">
      <c r="B29" s="47">
        <v>428</v>
      </c>
      <c r="C29" s="256"/>
      <c r="D29" s="790" t="str">
        <f>VLOOKUP($B29,Aop!$A$2:$M$453,6,1)</f>
        <v xml:space="preserve">  7. Ukupna dobit/(gubitak) (± 905 ± 906)</v>
      </c>
      <c r="E29" s="791"/>
      <c r="F29" s="792"/>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2964421</v>
      </c>
      <c r="O29" s="60">
        <f t="shared" si="3"/>
        <v>644331</v>
      </c>
      <c r="P29" s="60">
        <f t="shared" si="3"/>
        <v>0</v>
      </c>
      <c r="Q29" s="464">
        <f t="shared" si="3"/>
        <v>644331</v>
      </c>
    </row>
    <row r="30" spans="2:19" ht="6.75" customHeight="1" x14ac:dyDescent="0.2">
      <c r="B30" s="47">
        <v>429</v>
      </c>
      <c r="C30" s="256"/>
      <c r="D30" s="782" t="str">
        <f>VLOOKUP($B30,Aop!$A$2:$M$453,6,1)</f>
        <v/>
      </c>
      <c r="E30" s="783"/>
      <c r="F30" s="784"/>
      <c r="G30" s="75">
        <f>VLOOKUP($B30,Aop!$A$2:$M$453,4,1)</f>
        <v>0</v>
      </c>
      <c r="H30" s="64"/>
      <c r="I30" s="64"/>
      <c r="J30" s="64"/>
      <c r="K30" s="64"/>
      <c r="L30" s="64"/>
      <c r="M30" s="64"/>
      <c r="N30" s="64"/>
      <c r="O30" s="64"/>
      <c r="P30" s="64"/>
      <c r="Q30" s="463"/>
    </row>
    <row r="31" spans="2:19" ht="15" customHeight="1" x14ac:dyDescent="0.2">
      <c r="B31" s="47">
        <v>430</v>
      </c>
      <c r="C31" s="256"/>
      <c r="D31" s="793" t="str">
        <f>VLOOKUP($B31,Aop!$A$2:$M$453,6,1)</f>
        <v xml:space="preserve">    8. Emisija akcijskog kapitala i drugi oblici povećanja kapitala</v>
      </c>
      <c r="E31" s="794"/>
      <c r="F31" s="795"/>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82" t="str">
        <f>VLOOKUP($B32,Aop!$A$2:$M$453,6,1)</f>
        <v xml:space="preserve">    9. Sticanje sopstvenih akcija i drugi oblici smanjenja kapitala</v>
      </c>
      <c r="E32" s="783"/>
      <c r="F32" s="784"/>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3" t="str">
        <f>VLOOKUP($B33,Aop!$A$2:$M$453,6,1)</f>
        <v xml:space="preserve">    10. Objavljene dividende </v>
      </c>
      <c r="E33" s="794"/>
      <c r="F33" s="795"/>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82" t="str">
        <f>VLOOKUP($B34,Aop!$A$2:$M$453,6,1)</f>
        <v xml:space="preserve">    11. Drugi oblici raspodjele dobiti i pokriće gubitka</v>
      </c>
      <c r="E34" s="783"/>
      <c r="F34" s="784"/>
      <c r="G34" s="75">
        <f>VLOOKUP($B34,Aop!$A$2:$M$453,4,1)</f>
        <v>911</v>
      </c>
      <c r="H34" s="157"/>
      <c r="I34" s="157"/>
      <c r="J34" s="588">
        <v>307443</v>
      </c>
      <c r="K34" s="588"/>
      <c r="L34" s="588"/>
      <c r="M34" s="588"/>
      <c r="N34" s="588">
        <v>-307443</v>
      </c>
      <c r="O34" s="64">
        <f t="shared" si="0"/>
        <v>0</v>
      </c>
      <c r="P34" s="157"/>
      <c r="Q34" s="463">
        <f t="shared" si="1"/>
        <v>0</v>
      </c>
    </row>
    <row r="35" spans="2:19" ht="15" customHeight="1" x14ac:dyDescent="0.2">
      <c r="B35" s="47">
        <v>434</v>
      </c>
      <c r="C35" s="256"/>
      <c r="D35" s="793" t="str">
        <f>VLOOKUP($B35,Aop!$A$2:$M$453,6,1)</f>
        <v xml:space="preserve">    12. Ostale promjene</v>
      </c>
      <c r="E35" s="794"/>
      <c r="F35" s="795"/>
      <c r="G35" s="59">
        <f>VLOOKUP($B35,Aop!$A$2:$M$453,4,1)</f>
        <v>912</v>
      </c>
      <c r="H35" s="155"/>
      <c r="I35" s="155"/>
      <c r="J35" s="589">
        <f xml:space="preserve"> 4037739-88509</f>
        <v>3949230</v>
      </c>
      <c r="K35" s="589">
        <v>-12629</v>
      </c>
      <c r="L35" s="589"/>
      <c r="M35" s="589"/>
      <c r="N35" s="589">
        <f>88509+12629</f>
        <v>101138</v>
      </c>
      <c r="O35" s="153">
        <f t="shared" si="0"/>
        <v>4037739</v>
      </c>
      <c r="P35" s="155"/>
      <c r="Q35" s="466">
        <f t="shared" si="1"/>
        <v>4037739</v>
      </c>
    </row>
    <row r="36" spans="2:19" ht="9" customHeight="1" x14ac:dyDescent="0.2">
      <c r="B36" s="47">
        <v>435</v>
      </c>
      <c r="C36" s="256"/>
      <c r="D36" s="782" t="str">
        <f>VLOOKUP($B36,Aop!$A$2:$M$453,6,1)</f>
        <v/>
      </c>
      <c r="E36" s="783"/>
      <c r="F36" s="784"/>
      <c r="G36" s="75">
        <f>VLOOKUP($B36,Aop!$A$2:$M$453,4,1)</f>
        <v>0</v>
      </c>
      <c r="H36" s="64"/>
      <c r="I36" s="64"/>
      <c r="J36" s="64"/>
      <c r="K36" s="64"/>
      <c r="L36" s="64"/>
      <c r="M36" s="64"/>
      <c r="N36" s="64"/>
      <c r="O36" s="64"/>
      <c r="P36" s="64"/>
      <c r="Q36" s="463"/>
      <c r="S36" s="133" t="s">
        <v>313</v>
      </c>
    </row>
    <row r="37" spans="2:19" ht="25.5" x14ac:dyDescent="0.2">
      <c r="B37" s="47">
        <v>436</v>
      </c>
      <c r="C37" s="256"/>
      <c r="D37" s="790" t="str">
        <f>VLOOKUP($B37,Aop!$A$2:$M$453,6,1)</f>
        <v xml:space="preserve">  13. Stanje na dan 31.12.2023. god. / 01.01.2024. god. 
   (904 ± 907 ± 908 - 909 - 910 ± 911 ± 912)</v>
      </c>
      <c r="E37" s="791"/>
      <c r="F37" s="792"/>
      <c r="G37" s="178">
        <f>VLOOKUP($B37,Aop!$A$2:$M$453,4,1)</f>
        <v>913</v>
      </c>
      <c r="H37" s="60">
        <f>SUM(H25, H29, -H32, -H33, H31, H34:H35)</f>
        <v>15795899</v>
      </c>
      <c r="I37" s="60">
        <f t="shared" ref="I37:Q37" si="4">SUM(I25, I29, -I32, -I33, I31, I34:I35)</f>
        <v>0</v>
      </c>
      <c r="J37" s="60">
        <f t="shared" si="4"/>
        <v>13419506</v>
      </c>
      <c r="K37" s="60">
        <f t="shared" si="4"/>
        <v>27527089</v>
      </c>
      <c r="L37" s="60">
        <f t="shared" si="4"/>
        <v>0</v>
      </c>
      <c r="M37" s="60">
        <f t="shared" si="4"/>
        <v>0</v>
      </c>
      <c r="N37" s="60">
        <f t="shared" si="4"/>
        <v>39291931</v>
      </c>
      <c r="O37" s="60">
        <f t="shared" si="4"/>
        <v>96034425</v>
      </c>
      <c r="P37" s="60">
        <f t="shared" si="4"/>
        <v>0</v>
      </c>
      <c r="Q37" s="464">
        <f t="shared" si="4"/>
        <v>96034425</v>
      </c>
      <c r="S37" s="133" t="s">
        <v>313</v>
      </c>
    </row>
    <row r="38" spans="2:19" ht="9" customHeight="1" x14ac:dyDescent="0.2">
      <c r="B38" s="47">
        <v>437</v>
      </c>
      <c r="C38" s="256"/>
      <c r="D38" s="782" t="str">
        <f>VLOOKUP($B38,Aop!$A$2:$M$453,6,1)</f>
        <v/>
      </c>
      <c r="E38" s="783"/>
      <c r="F38" s="784"/>
      <c r="G38" s="75">
        <f>VLOOKUP($B38,Aop!$A$2:$M$453,4,1)</f>
        <v>0</v>
      </c>
      <c r="H38" s="64"/>
      <c r="I38" s="64"/>
      <c r="J38" s="64"/>
      <c r="K38" s="64"/>
      <c r="L38" s="64"/>
      <c r="M38" s="64"/>
      <c r="N38" s="64"/>
      <c r="O38" s="64"/>
      <c r="P38" s="64"/>
      <c r="Q38" s="463"/>
    </row>
    <row r="39" spans="2:19" ht="15.75" customHeight="1" x14ac:dyDescent="0.2">
      <c r="B39" s="47">
        <v>438</v>
      </c>
      <c r="C39" s="256"/>
      <c r="D39" s="793" t="str">
        <f>VLOOKUP($B39,Aop!$A$2:$M$453,6,1)</f>
        <v xml:space="preserve">    14. Efekti promjena u računovodstvenim politikama</v>
      </c>
      <c r="E39" s="794"/>
      <c r="F39" s="795"/>
      <c r="G39" s="59">
        <f>VLOOKUP($B39,Aop!$A$2:$M$453,4,1)</f>
        <v>914</v>
      </c>
      <c r="H39" s="155"/>
      <c r="I39" s="155"/>
      <c r="J39" s="155"/>
      <c r="K39" s="155"/>
      <c r="L39" s="155"/>
      <c r="M39" s="155"/>
      <c r="N39" s="155"/>
      <c r="O39" s="153">
        <f t="shared" si="0"/>
        <v>0</v>
      </c>
      <c r="P39" s="155"/>
      <c r="Q39" s="466">
        <f t="shared" si="1"/>
        <v>0</v>
      </c>
    </row>
    <row r="40" spans="2:19" ht="15.75" customHeight="1" x14ac:dyDescent="0.2">
      <c r="B40" s="47">
        <v>439</v>
      </c>
      <c r="C40" s="256"/>
      <c r="D40" s="782" t="str">
        <f>VLOOKUP($B40,Aop!$A$2:$M$453,6,1)</f>
        <v xml:space="preserve">    15. Efekti ispravki grešaka</v>
      </c>
      <c r="E40" s="783"/>
      <c r="F40" s="784"/>
      <c r="G40" s="75">
        <f>VLOOKUP($B40,Aop!$A$2:$M$453,4,1)</f>
        <v>915</v>
      </c>
      <c r="H40" s="157"/>
      <c r="I40" s="157"/>
      <c r="J40" s="157"/>
      <c r="K40" s="157"/>
      <c r="L40" s="157"/>
      <c r="M40" s="157"/>
      <c r="N40" s="157"/>
      <c r="O40" s="64">
        <f t="shared" si="0"/>
        <v>0</v>
      </c>
      <c r="P40" s="157"/>
      <c r="Q40" s="463">
        <f t="shared" si="1"/>
        <v>0</v>
      </c>
    </row>
    <row r="41" spans="2:19" ht="15.75" customHeight="1" x14ac:dyDescent="0.2">
      <c r="B41" s="47">
        <v>440</v>
      </c>
      <c r="C41" s="256"/>
      <c r="D41" s="790" t="str">
        <f>VLOOKUP($B41,Aop!$A$2:$M$453,6,1)</f>
        <v xml:space="preserve">  16. Ponovo iskazano stanje na dan 01.01.2024. godine (913 ± 914 ± 915)</v>
      </c>
      <c r="E41" s="791"/>
      <c r="F41" s="792"/>
      <c r="G41" s="178">
        <f>VLOOKUP($B41,Aop!$A$2:$M$453,4,1)</f>
        <v>916</v>
      </c>
      <c r="H41" s="60">
        <f>SUM(H37:H40)</f>
        <v>15795899</v>
      </c>
      <c r="I41" s="60">
        <f t="shared" ref="I41:Q41" si="5">SUM(I37:I40)</f>
        <v>0</v>
      </c>
      <c r="J41" s="60">
        <f t="shared" si="5"/>
        <v>13419506</v>
      </c>
      <c r="K41" s="60">
        <f t="shared" si="5"/>
        <v>27527089</v>
      </c>
      <c r="L41" s="60">
        <f t="shared" si="5"/>
        <v>0</v>
      </c>
      <c r="M41" s="60">
        <f t="shared" si="5"/>
        <v>0</v>
      </c>
      <c r="N41" s="60">
        <f t="shared" si="5"/>
        <v>39291931</v>
      </c>
      <c r="O41" s="60">
        <f t="shared" si="5"/>
        <v>96034425</v>
      </c>
      <c r="P41" s="60">
        <f t="shared" si="5"/>
        <v>0</v>
      </c>
      <c r="Q41" s="464">
        <f t="shared" si="5"/>
        <v>96034425</v>
      </c>
    </row>
    <row r="42" spans="2:19" ht="6.75" customHeight="1" x14ac:dyDescent="0.2">
      <c r="B42" s="47">
        <v>441</v>
      </c>
      <c r="C42" s="256"/>
      <c r="D42" s="782" t="str">
        <f>VLOOKUP($B42,Aop!$A$2:$M$453,6,1)</f>
        <v/>
      </c>
      <c r="E42" s="783"/>
      <c r="F42" s="784"/>
      <c r="G42" s="75">
        <f>VLOOKUP($B42,Aop!$A$2:$M$453,4,1)</f>
        <v>0</v>
      </c>
      <c r="H42" s="64"/>
      <c r="I42" s="64"/>
      <c r="J42" s="64"/>
      <c r="K42" s="64"/>
      <c r="L42" s="64"/>
      <c r="M42" s="64"/>
      <c r="N42" s="64"/>
      <c r="O42" s="64"/>
      <c r="P42" s="64"/>
      <c r="Q42" s="463"/>
    </row>
    <row r="43" spans="2:19" ht="15" customHeight="1" x14ac:dyDescent="0.2">
      <c r="B43" s="47">
        <v>442</v>
      </c>
      <c r="C43" s="256"/>
      <c r="D43" s="793" t="str">
        <f>VLOOKUP($B43,Aop!$A$2:$M$453,6,1)</f>
        <v xml:space="preserve">    17. Dobit/(gubitak) za godinu</v>
      </c>
      <c r="E43" s="794"/>
      <c r="F43" s="795"/>
      <c r="G43" s="59">
        <f>VLOOKUP($B43,Aop!$A$2:$M$453,4,1)</f>
        <v>917</v>
      </c>
      <c r="H43" s="155"/>
      <c r="I43" s="155"/>
      <c r="J43" s="155"/>
      <c r="K43" s="155"/>
      <c r="L43" s="155"/>
      <c r="M43" s="155"/>
      <c r="N43" s="155">
        <v>2476606</v>
      </c>
      <c r="O43" s="153">
        <f t="shared" si="0"/>
        <v>2476606</v>
      </c>
      <c r="P43" s="155"/>
      <c r="Q43" s="466">
        <f t="shared" si="1"/>
        <v>2476606</v>
      </c>
    </row>
    <row r="44" spans="2:19" ht="15" customHeight="1" x14ac:dyDescent="0.2">
      <c r="B44" s="47">
        <v>443</v>
      </c>
      <c r="C44" s="256"/>
      <c r="D44" s="782" t="str">
        <f>VLOOKUP($B44,Aop!$A$2:$M$453,6,1)</f>
        <v xml:space="preserve">    18. Ostali ukupni rezultat za godinu</v>
      </c>
      <c r="E44" s="783"/>
      <c r="F44" s="784"/>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90" t="str">
        <f>VLOOKUP($B45,Aop!$A$2:$M$453,6,1)</f>
        <v xml:space="preserve">  19. Ukupna dobit/(gubitak) (± 917 ± 918)</v>
      </c>
      <c r="E45" s="791"/>
      <c r="F45" s="792"/>
      <c r="G45" s="178">
        <f>VLOOKUP($B45,Aop!$A$2:$M$453,4,1)</f>
        <v>919</v>
      </c>
      <c r="H45" s="60">
        <f>SUM(H43:H44)</f>
        <v>0</v>
      </c>
      <c r="I45" s="60">
        <f t="shared" ref="I45:Q45" si="6">SUM(I43:I44)</f>
        <v>0</v>
      </c>
      <c r="J45" s="60">
        <f t="shared" si="6"/>
        <v>0</v>
      </c>
      <c r="K45" s="60">
        <f>SUM(K43:K44)</f>
        <v>0</v>
      </c>
      <c r="L45" s="60">
        <f t="shared" si="6"/>
        <v>0</v>
      </c>
      <c r="M45" s="60">
        <f t="shared" si="6"/>
        <v>0</v>
      </c>
      <c r="N45" s="60">
        <f t="shared" si="6"/>
        <v>2476606</v>
      </c>
      <c r="O45" s="60">
        <f t="shared" si="6"/>
        <v>2476606</v>
      </c>
      <c r="P45" s="60">
        <f t="shared" si="6"/>
        <v>0</v>
      </c>
      <c r="Q45" s="464">
        <f t="shared" si="6"/>
        <v>2476606</v>
      </c>
    </row>
    <row r="46" spans="2:19" ht="4.5" customHeight="1" x14ac:dyDescent="0.2">
      <c r="B46" s="47">
        <v>445</v>
      </c>
      <c r="C46" s="256"/>
      <c r="D46" s="782" t="str">
        <f>VLOOKUP($B46,Aop!$A$2:$M$453,6,1)</f>
        <v/>
      </c>
      <c r="E46" s="783"/>
      <c r="F46" s="784"/>
      <c r="G46" s="75">
        <f>VLOOKUP($B46,Aop!$A$2:$M$453,4,1)</f>
        <v>0</v>
      </c>
      <c r="H46" s="64"/>
      <c r="I46" s="64"/>
      <c r="J46" s="64"/>
      <c r="K46" s="64"/>
      <c r="L46" s="64"/>
      <c r="M46" s="64"/>
      <c r="N46" s="64"/>
      <c r="O46" s="64"/>
      <c r="P46" s="64"/>
      <c r="Q46" s="463"/>
    </row>
    <row r="47" spans="2:19" ht="15.75" customHeight="1" x14ac:dyDescent="0.2">
      <c r="B47" s="47">
        <v>446</v>
      </c>
      <c r="C47" s="256"/>
      <c r="D47" s="793" t="str">
        <f>VLOOKUP($B47,Aop!$A$2:$M$453,6,1)</f>
        <v xml:space="preserve">    20. Emisija akcijskog kapitala i drugi oblici povećanja kapitala</v>
      </c>
      <c r="E47" s="794"/>
      <c r="F47" s="795"/>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82" t="str">
        <f>VLOOKUP($B48,Aop!$A$2:$M$453,6,1)</f>
        <v xml:space="preserve">    21. Sticanje sopstvenih akcija i drugi oblici smanjenja kapitala</v>
      </c>
      <c r="E48" s="783"/>
      <c r="F48" s="784"/>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3" t="str">
        <f>VLOOKUP($B49,Aop!$A$2:$M$453,6,1)</f>
        <v xml:space="preserve">    22. Objavljene dividende </v>
      </c>
      <c r="E49" s="794"/>
      <c r="F49" s="795"/>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82" t="str">
        <f>VLOOKUP($B50,Aop!$A$2:$M$453,6,1)</f>
        <v xml:space="preserve">    23. Drugi oblici raspodjele dobiti i pokriće gubitka</v>
      </c>
      <c r="E50" s="783"/>
      <c r="F50" s="784"/>
      <c r="G50" s="75">
        <f>VLOOKUP($B50,Aop!$A$2:$M$453,4,1)</f>
        <v>923</v>
      </c>
      <c r="H50" s="157"/>
      <c r="I50" s="157"/>
      <c r="J50" s="157">
        <v>148221</v>
      </c>
      <c r="K50" s="157"/>
      <c r="L50" s="157"/>
      <c r="M50" s="157"/>
      <c r="N50" s="157">
        <v>-148221</v>
      </c>
      <c r="O50" s="64">
        <f t="shared" si="0"/>
        <v>0</v>
      </c>
      <c r="P50" s="157"/>
      <c r="Q50" s="463">
        <f t="shared" si="1"/>
        <v>0</v>
      </c>
    </row>
    <row r="51" spans="2:17" ht="15" customHeight="1" x14ac:dyDescent="0.2">
      <c r="B51" s="47">
        <v>450</v>
      </c>
      <c r="C51" s="256"/>
      <c r="D51" s="793" t="str">
        <f>VLOOKUP($B51,Aop!$A$2:$M$453,6,1)</f>
        <v xml:space="preserve">    24. Ostale promjene</v>
      </c>
      <c r="E51" s="794"/>
      <c r="F51" s="795"/>
      <c r="G51" s="59">
        <f>VLOOKUP($B51,Aop!$A$2:$M$453,4,1)</f>
        <v>924</v>
      </c>
      <c r="H51" s="155"/>
      <c r="I51" s="155"/>
      <c r="J51" s="155">
        <v>1170685</v>
      </c>
      <c r="K51" s="155"/>
      <c r="L51" s="155"/>
      <c r="M51" s="155"/>
      <c r="N51" s="155"/>
      <c r="O51" s="153">
        <f t="shared" si="0"/>
        <v>1170685</v>
      </c>
      <c r="P51" s="155"/>
      <c r="Q51" s="466">
        <f t="shared" si="1"/>
        <v>1170685</v>
      </c>
    </row>
    <row r="52" spans="2:17" ht="7.5" customHeight="1" x14ac:dyDescent="0.2">
      <c r="B52" s="47">
        <v>451</v>
      </c>
      <c r="C52" s="256"/>
      <c r="D52" s="782" t="str">
        <f>VLOOKUP($B52,Aop!$A$2:$M$453,6,1)</f>
        <v/>
      </c>
      <c r="E52" s="783"/>
      <c r="F52" s="784"/>
      <c r="G52" s="75">
        <f>VLOOKUP($B52,Aop!$A$2:$M$453,4,1)</f>
        <v>0</v>
      </c>
      <c r="H52" s="64"/>
      <c r="I52" s="64"/>
      <c r="J52" s="64"/>
      <c r="K52" s="64"/>
      <c r="L52" s="64"/>
      <c r="M52" s="64"/>
      <c r="N52" s="64"/>
      <c r="O52" s="64"/>
      <c r="P52" s="64"/>
      <c r="Q52" s="463"/>
    </row>
    <row r="53" spans="2:17" ht="22.5" customHeight="1" x14ac:dyDescent="0.2">
      <c r="B53" s="47">
        <v>452</v>
      </c>
      <c r="C53" s="256"/>
      <c r="D53" s="779" t="str">
        <f>VLOOKUP($B53,Aop!$A$2:$M$453,6,1)</f>
        <v>25. Stanje na dan 30.09.2024. godine (916 ± 919 ± 920  - 921 - 922± 923 ± 924)</v>
      </c>
      <c r="E53" s="780"/>
      <c r="F53" s="781"/>
      <c r="G53" s="501">
        <f>VLOOKUP($B53,Aop!$A$2:$M$453,4,1)</f>
        <v>925</v>
      </c>
      <c r="H53" s="467">
        <f>SUM(H41, H45,H47,-H48,-H49,H50:H51)</f>
        <v>15795899</v>
      </c>
      <c r="I53" s="467">
        <f t="shared" ref="I53:Q53" si="7">SUM(I41, I45,I47,-I48,-I49,I50:I51)</f>
        <v>0</v>
      </c>
      <c r="J53" s="467">
        <f t="shared" si="7"/>
        <v>14738412</v>
      </c>
      <c r="K53" s="467">
        <f t="shared" si="7"/>
        <v>27527089</v>
      </c>
      <c r="L53" s="467">
        <f t="shared" si="7"/>
        <v>0</v>
      </c>
      <c r="M53" s="467">
        <f t="shared" si="7"/>
        <v>0</v>
      </c>
      <c r="N53" s="467">
        <f t="shared" si="7"/>
        <v>41620316</v>
      </c>
      <c r="O53" s="414">
        <f>SUM(O41, O45,O47,-O48,-O49,O50:O51)</f>
        <v>99681716</v>
      </c>
      <c r="P53" s="467">
        <f t="shared" si="7"/>
        <v>0</v>
      </c>
      <c r="Q53" s="468">
        <f t="shared" si="7"/>
        <v>99681716</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60" t="str">
        <f>Podnozje_Lice_sa_licencom</f>
        <v>Lice sa licencom:</v>
      </c>
      <c r="I55" s="760"/>
      <c r="K55" s="8" t="str">
        <f>Podnozje_Broj_licence</f>
        <v>Broj licence:</v>
      </c>
      <c r="L55" s="37"/>
      <c r="M55" s="37" t="str">
        <f>Podnozje_MP</f>
        <v>(M.P.)</v>
      </c>
      <c r="O55" s="760" t="str">
        <f>Podnozje_Direktor</f>
        <v>Lice ovlašćeno za zastupanje:</v>
      </c>
      <c r="P55" s="760"/>
    </row>
    <row r="56" spans="2:17" x14ac:dyDescent="0.2">
      <c r="C56" s="28"/>
      <c r="G56"/>
      <c r="H56" s="789" t="str">
        <f>Podatak_Lice_sa_licencom</f>
        <v>Slobodan Butulija</v>
      </c>
      <c r="I56" s="789"/>
      <c r="O56" s="761" t="str">
        <f>Podatak_Direktor</f>
        <v>Aco Stanišić ma. ecc</v>
      </c>
      <c r="P56" s="761"/>
    </row>
    <row r="57" spans="2:17" x14ac:dyDescent="0.2">
      <c r="D57" s="180" t="str">
        <f>Podnozje_Dana</f>
        <v>Dana:</v>
      </c>
      <c r="E57" s="417" t="str">
        <f>Podatak_Dana</f>
        <v>31.10.2024.</v>
      </c>
      <c r="F57" s="38"/>
      <c r="H57" s="788"/>
      <c r="I57" s="788"/>
      <c r="J57" s="9"/>
      <c r="K57" s="9" t="str">
        <f>Podatak_Broj_Licence</f>
        <v>0029/24</v>
      </c>
      <c r="L57" s="9"/>
      <c r="M57" s="9"/>
      <c r="O57" s="690"/>
      <c r="P57" s="690"/>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45565</v>
      </c>
      <c r="I1">
        <f>VLOOKUP(Datum_Broj, $H$3:$L$6, 2, 0)</f>
        <v>3</v>
      </c>
      <c r="J1">
        <f>VLOOKUP(ID_Izvjestaj,$I$3:$L$6,3,1)</f>
        <v>9</v>
      </c>
      <c r="U1">
        <f>Period_Kraj_Godina</f>
        <v>2024</v>
      </c>
      <c r="V1">
        <f>Period_Kraj_Mjesec</f>
        <v>9</v>
      </c>
      <c r="W1">
        <f>Period_Kraj_Dan</f>
        <v>30</v>
      </c>
      <c r="X1" s="6" t="str">
        <f>TEXT( DATE( Godina, Period_Kraj_Mjesec, Period_Kraj_Dan), "dd.mm.yyyy.")</f>
        <v>30.09.2024.</v>
      </c>
      <c r="Y1" s="6" t="str">
        <f>TEXT( DATE( Godina, Period_Kraj_Mjesec, Period_Kraj_Dan), "dd.mm.yyyy")</f>
        <v>30.09.2024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9</v>
      </c>
      <c r="V3">
        <f>Period_Kraj_Dan</f>
        <v>30</v>
      </c>
      <c r="W3" s="114">
        <f>DATE( Godina + T3, U3, V3)</f>
        <v>45565</v>
      </c>
      <c r="X3" t="str">
        <f>TEXT(W3, "dd.mm.yyyy.")</f>
        <v>30.09.2024.</v>
      </c>
      <c r="Y3" t="str">
        <f>TEXT(W3, "dd.mm.yyyy")</f>
        <v>30.09.2024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0</v>
      </c>
      <c r="G2" s="139">
        <f t="shared" ref="G2:G65" si="2">Datum_Broj</f>
        <v>45565</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335549568.01999998</v>
      </c>
      <c r="L2" s="55">
        <f t="shared" ref="L2:L65" ca="1" si="4">IF( VLOOKUP( $H2, INDIRECT( "Lookup_" &amp; $B2), IF( LEFT( $B2, 2) = "BS", R$2, R$1), 0) = "", "", VLOOKUP( $H2, INDIRECT( "Lookup_" &amp; $B2), IF( $B2 = "BSa", R$2, R$1), 0))</f>
        <v>200579156</v>
      </c>
      <c r="M2" s="55">
        <f ca="1">IF( VLOOKUP( $H2, INDIRECT( "Lookup_" &amp; $B2), IF( LEFT( $B2, 2) = "BS", S$2, S$1), 0) = "", "", VLOOKUP( $H2, INDIRECT( "Lookup_" &amp; $B2), IF( LEFT( $B2, 2) = "BS", S$2, S$1), 0))</f>
        <v>134970412.01999998</v>
      </c>
      <c r="N2" s="55">
        <f t="shared" ref="N2:N65" ca="1" si="5">IF( VLOOKUP( $H2, INDIRECT( "Lookup_" &amp; $B2), IF( LEFT( $B2, 2) = "BS", S$2, S$1), 0) = "", "", VLOOKUP( $H2, INDIRECT( "Lookup_" &amp; $B2), IF( LEFT( $B2, 2) = "BS", S$2, S$1), 0))</f>
        <v>134970412.01999998</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0</v>
      </c>
      <c r="G3" s="139">
        <f t="shared" si="2"/>
        <v>45565</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7523193</v>
      </c>
      <c r="L3" s="55">
        <f t="shared" ca="1" si="4"/>
        <v>1490234</v>
      </c>
      <c r="M3" s="55">
        <f ca="1">IF( VLOOKUP( $H3, INDIRECT( "Lookup_" &amp; $B3), IF( LEFT( $B3, 2) = "BS", S$2, S$1), 0) = "", "", VLOOKUP( $H3, INDIRECT( "Lookup_" &amp; $B3), IF( LEFT( $B3, 2) = "BS", S$2, S$1), 0))</f>
        <v>6032959</v>
      </c>
      <c r="N3" s="55">
        <f t="shared" ca="1" si="5"/>
        <v>6032959</v>
      </c>
    </row>
    <row r="4" spans="1:20" x14ac:dyDescent="0.2">
      <c r="A4" s="105">
        <v>3</v>
      </c>
      <c r="B4" s="105" t="str">
        <f>VLOOKUP( $A4, Aop!$A$2:$P$453, 2, 0)</f>
        <v>BSa</v>
      </c>
      <c r="C4" s="105">
        <v>25</v>
      </c>
      <c r="D4" s="105" t="str">
        <f t="shared" si="0"/>
        <v>01814788</v>
      </c>
      <c r="E4" s="105" t="str">
        <f t="shared" si="6"/>
        <v>4400570050004</v>
      </c>
      <c r="F4" s="105" t="b">
        <f t="shared" si="1"/>
        <v>0</v>
      </c>
      <c r="G4" s="139">
        <f t="shared" si="2"/>
        <v>45565</v>
      </c>
      <c r="H4" s="105">
        <v>3</v>
      </c>
      <c r="I4" s="105">
        <f t="shared" si="3"/>
        <v>2024</v>
      </c>
      <c r="J4" s="55" t="str">
        <f t="shared" ca="1" si="7"/>
        <v/>
      </c>
      <c r="K4" s="55">
        <f t="shared" ca="1" si="8"/>
        <v>42799</v>
      </c>
      <c r="L4" s="55">
        <f t="shared" ca="1" si="4"/>
        <v>23910</v>
      </c>
      <c r="M4" s="55">
        <f t="shared" ref="M4:M67" ca="1" si="9">IF( VLOOKUP( $H4, INDIRECT( "Lookup_" &amp; $B4), IF( LEFT( $B4, 2) = "BS", S$2, S$1), 0) = "", "", VLOOKUP( $H4, INDIRECT( "Lookup_" &amp; $B4), IF( LEFT( $B4, 2) = "BS", S$2, S$1), 0))</f>
        <v>18889</v>
      </c>
      <c r="N4" s="55">
        <f t="shared" ca="1" si="5"/>
        <v>18889</v>
      </c>
    </row>
    <row r="5" spans="1:20" x14ac:dyDescent="0.2">
      <c r="A5" s="105">
        <v>4</v>
      </c>
      <c r="B5" s="105" t="str">
        <f>VLOOKUP( $A5, Aop!$A$2:$P$453, 2, 0)</f>
        <v>BSa</v>
      </c>
      <c r="C5" s="105">
        <v>25</v>
      </c>
      <c r="D5" s="105" t="str">
        <f t="shared" si="0"/>
        <v>01814788</v>
      </c>
      <c r="E5" s="105" t="str">
        <f t="shared" si="6"/>
        <v>4400570050004</v>
      </c>
      <c r="F5" s="105" t="b">
        <f t="shared" si="1"/>
        <v>0</v>
      </c>
      <c r="G5" s="139">
        <f t="shared" si="2"/>
        <v>45565</v>
      </c>
      <c r="H5" s="105">
        <v>4</v>
      </c>
      <c r="I5" s="105">
        <f t="shared" si="3"/>
        <v>2024</v>
      </c>
      <c r="J5" s="55" t="str">
        <f t="shared" ca="1" si="7"/>
        <v/>
      </c>
      <c r="K5" s="55">
        <f t="shared" ca="1" si="8"/>
        <v>7480394</v>
      </c>
      <c r="L5" s="55">
        <f t="shared" ca="1" si="4"/>
        <v>1466324</v>
      </c>
      <c r="M5" s="55">
        <f t="shared" ca="1" si="9"/>
        <v>6014070</v>
      </c>
      <c r="N5" s="55">
        <f t="shared" ca="1" si="5"/>
        <v>6014070</v>
      </c>
    </row>
    <row r="6" spans="1:20" x14ac:dyDescent="0.2">
      <c r="A6" s="105">
        <v>5</v>
      </c>
      <c r="B6" s="105" t="str">
        <f>VLOOKUP( $A6, Aop!$A$2:$P$453, 2, 0)</f>
        <v>BSa</v>
      </c>
      <c r="C6" s="105">
        <v>25</v>
      </c>
      <c r="D6" s="105" t="str">
        <f t="shared" si="0"/>
        <v>01814788</v>
      </c>
      <c r="E6" s="105" t="str">
        <f t="shared" si="6"/>
        <v>4400570050004</v>
      </c>
      <c r="F6" s="105" t="b">
        <f t="shared" si="1"/>
        <v>0</v>
      </c>
      <c r="G6" s="139">
        <f t="shared" si="2"/>
        <v>45565</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0</v>
      </c>
      <c r="G7" s="139">
        <f t="shared" si="2"/>
        <v>45565</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0</v>
      </c>
      <c r="G8" s="139">
        <f t="shared" si="2"/>
        <v>45565</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0</v>
      </c>
      <c r="G9" s="139">
        <f t="shared" si="2"/>
        <v>45565</v>
      </c>
      <c r="H9" s="105">
        <v>8</v>
      </c>
      <c r="I9" s="105">
        <f t="shared" si="3"/>
        <v>2024</v>
      </c>
      <c r="J9" s="55" t="str">
        <f t="shared" ca="1" si="7"/>
        <v/>
      </c>
      <c r="K9" s="55">
        <f t="shared" ca="1" si="8"/>
        <v>305985142</v>
      </c>
      <c r="L9" s="55">
        <f t="shared" ca="1" si="4"/>
        <v>198167066</v>
      </c>
      <c r="M9" s="55">
        <f t="shared" ca="1" si="9"/>
        <v>107818076</v>
      </c>
      <c r="N9" s="55">
        <f t="shared" ca="1" si="5"/>
        <v>107818076</v>
      </c>
    </row>
    <row r="10" spans="1:20" x14ac:dyDescent="0.2">
      <c r="A10" s="105">
        <v>9</v>
      </c>
      <c r="B10" s="105" t="str">
        <f>VLOOKUP( $A10, Aop!$A$2:$P$453, 2, 0)</f>
        <v>BSa</v>
      </c>
      <c r="C10" s="105">
        <v>25</v>
      </c>
      <c r="D10" s="105" t="str">
        <f t="shared" si="0"/>
        <v>01814788</v>
      </c>
      <c r="E10" s="105" t="str">
        <f t="shared" si="6"/>
        <v>4400570050004</v>
      </c>
      <c r="F10" s="105" t="b">
        <f t="shared" si="1"/>
        <v>0</v>
      </c>
      <c r="G10" s="139">
        <f t="shared" si="2"/>
        <v>45565</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0</v>
      </c>
      <c r="G11" s="139">
        <f t="shared" si="2"/>
        <v>45565</v>
      </c>
      <c r="H11" s="105">
        <v>10</v>
      </c>
      <c r="I11" s="105">
        <f t="shared" si="3"/>
        <v>2024</v>
      </c>
      <c r="J11" s="55" t="str">
        <f t="shared" ca="1" si="7"/>
        <v/>
      </c>
      <c r="K11" s="55">
        <f t="shared" ca="1" si="8"/>
        <v>44619863</v>
      </c>
      <c r="L11" s="55">
        <f t="shared" ca="1" si="4"/>
        <v>18351661</v>
      </c>
      <c r="M11" s="55">
        <f t="shared" ca="1" si="9"/>
        <v>26268202</v>
      </c>
      <c r="N11" s="55">
        <f t="shared" ca="1" si="5"/>
        <v>26268202</v>
      </c>
    </row>
    <row r="12" spans="1:20" x14ac:dyDescent="0.2">
      <c r="A12" s="105">
        <v>11</v>
      </c>
      <c r="B12" s="105" t="str">
        <f>VLOOKUP( $A12, Aop!$A$2:$P$453, 2, 0)</f>
        <v>BSa</v>
      </c>
      <c r="C12" s="105">
        <v>25</v>
      </c>
      <c r="D12" s="105" t="str">
        <f t="shared" si="0"/>
        <v>01814788</v>
      </c>
      <c r="E12" s="105" t="str">
        <f t="shared" si="6"/>
        <v>4400570050004</v>
      </c>
      <c r="F12" s="105" t="b">
        <f t="shared" si="1"/>
        <v>0</v>
      </c>
      <c r="G12" s="139">
        <f t="shared" si="2"/>
        <v>45565</v>
      </c>
      <c r="H12" s="105">
        <v>11</v>
      </c>
      <c r="I12" s="105">
        <f t="shared" si="3"/>
        <v>2024</v>
      </c>
      <c r="J12" s="55" t="str">
        <f t="shared" ca="1" si="7"/>
        <v/>
      </c>
      <c r="K12" s="55">
        <f t="shared" ca="1" si="8"/>
        <v>251176801</v>
      </c>
      <c r="L12" s="55">
        <f t="shared" ca="1" si="4"/>
        <v>179815405</v>
      </c>
      <c r="M12" s="55">
        <f t="shared" ca="1" si="9"/>
        <v>71361396</v>
      </c>
      <c r="N12" s="55">
        <f t="shared" ca="1" si="5"/>
        <v>71361396</v>
      </c>
    </row>
    <row r="13" spans="1:20" x14ac:dyDescent="0.2">
      <c r="A13" s="105">
        <v>12</v>
      </c>
      <c r="B13" s="105" t="str">
        <f>VLOOKUP( $A13, Aop!$A$2:$P$453, 2, 0)</f>
        <v>BSa</v>
      </c>
      <c r="C13" s="105">
        <v>25</v>
      </c>
      <c r="D13" s="105" t="str">
        <f t="shared" si="0"/>
        <v>01814788</v>
      </c>
      <c r="E13" s="105" t="str">
        <f t="shared" si="6"/>
        <v>4400570050004</v>
      </c>
      <c r="F13" s="105" t="b">
        <f t="shared" si="1"/>
        <v>0</v>
      </c>
      <c r="G13" s="139">
        <f t="shared" si="2"/>
        <v>45565</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0</v>
      </c>
      <c r="G14" s="139">
        <f t="shared" si="2"/>
        <v>45565</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0</v>
      </c>
      <c r="G15" s="139">
        <f t="shared" si="2"/>
        <v>45565</v>
      </c>
      <c r="H15" s="105">
        <v>14</v>
      </c>
      <c r="I15" s="105">
        <f t="shared" si="3"/>
        <v>2024</v>
      </c>
      <c r="J15" s="55" t="str">
        <f t="shared" ca="1" si="7"/>
        <v/>
      </c>
      <c r="K15" s="55">
        <f t="shared" ca="1" si="8"/>
        <v>9846146</v>
      </c>
      <c r="L15" s="55" t="str">
        <f t="shared" ca="1" si="4"/>
        <v/>
      </c>
      <c r="M15" s="55">
        <f t="shared" ca="1" si="9"/>
        <v>9846146</v>
      </c>
      <c r="N15" s="55">
        <f t="shared" ca="1" si="5"/>
        <v>9846146</v>
      </c>
    </row>
    <row r="16" spans="1:20" x14ac:dyDescent="0.2">
      <c r="A16" s="105">
        <v>15</v>
      </c>
      <c r="B16" s="105" t="str">
        <f>VLOOKUP( $A16, Aop!$A$2:$P$453, 2, 0)</f>
        <v>BSa</v>
      </c>
      <c r="C16" s="105">
        <v>25</v>
      </c>
      <c r="D16" s="105" t="str">
        <f t="shared" si="0"/>
        <v>01814788</v>
      </c>
      <c r="E16" s="105" t="str">
        <f t="shared" si="6"/>
        <v>4400570050004</v>
      </c>
      <c r="F16" s="105" t="b">
        <f t="shared" si="1"/>
        <v>0</v>
      </c>
      <c r="G16" s="139">
        <f t="shared" si="2"/>
        <v>45565</v>
      </c>
      <c r="H16" s="105">
        <v>15</v>
      </c>
      <c r="I16" s="105">
        <f t="shared" si="3"/>
        <v>2024</v>
      </c>
      <c r="J16" s="55" t="str">
        <f t="shared" ca="1" si="7"/>
        <v/>
      </c>
      <c r="K16" s="55">
        <f t="shared" ca="1" si="8"/>
        <v>413264</v>
      </c>
      <c r="L16" s="55">
        <f t="shared" ca="1" si="4"/>
        <v>4424</v>
      </c>
      <c r="M16" s="55">
        <f t="shared" ca="1" si="9"/>
        <v>408840</v>
      </c>
      <c r="N16" s="55">
        <f t="shared" ca="1" si="5"/>
        <v>408840</v>
      </c>
    </row>
    <row r="17" spans="1:14" x14ac:dyDescent="0.2">
      <c r="A17" s="105">
        <v>16</v>
      </c>
      <c r="B17" s="105" t="str">
        <f>VLOOKUP( $A17, Aop!$A$2:$P$453, 2, 0)</f>
        <v>BSa</v>
      </c>
      <c r="C17" s="105">
        <v>25</v>
      </c>
      <c r="D17" s="105" t="str">
        <f t="shared" si="0"/>
        <v>01814788</v>
      </c>
      <c r="E17" s="105" t="str">
        <f t="shared" si="6"/>
        <v>4400570050004</v>
      </c>
      <c r="F17" s="105" t="b">
        <f t="shared" si="1"/>
        <v>0</v>
      </c>
      <c r="G17" s="139">
        <f t="shared" si="2"/>
        <v>45565</v>
      </c>
      <c r="H17" s="105">
        <v>16</v>
      </c>
      <c r="I17" s="105">
        <f t="shared" si="3"/>
        <v>2024</v>
      </c>
      <c r="J17" s="55" t="str">
        <f t="shared" ca="1" si="7"/>
        <v/>
      </c>
      <c r="K17" s="55">
        <f t="shared" ca="1" si="8"/>
        <v>201025.02</v>
      </c>
      <c r="L17" s="55">
        <f t="shared" ca="1" si="4"/>
        <v>18427</v>
      </c>
      <c r="M17" s="55">
        <f t="shared" ca="1" si="9"/>
        <v>182598.02</v>
      </c>
      <c r="N17" s="55">
        <f t="shared" ca="1" si="5"/>
        <v>182598.02</v>
      </c>
    </row>
    <row r="18" spans="1:14" x14ac:dyDescent="0.2">
      <c r="A18" s="105">
        <v>17</v>
      </c>
      <c r="B18" s="105" t="str">
        <f>VLOOKUP( $A18, Aop!$A$2:$P$453, 2, 0)</f>
        <v>BSa</v>
      </c>
      <c r="C18" s="105">
        <v>25</v>
      </c>
      <c r="D18" s="105" t="str">
        <f t="shared" si="0"/>
        <v>01814788</v>
      </c>
      <c r="E18" s="105" t="str">
        <f t="shared" si="6"/>
        <v>4400570050004</v>
      </c>
      <c r="F18" s="105" t="b">
        <f t="shared" si="1"/>
        <v>0</v>
      </c>
      <c r="G18" s="139">
        <f t="shared" si="2"/>
        <v>45565</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0</v>
      </c>
      <c r="G19" s="139">
        <f t="shared" si="2"/>
        <v>45565</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0</v>
      </c>
      <c r="G20" s="139">
        <f t="shared" si="2"/>
        <v>45565</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0</v>
      </c>
      <c r="G21" s="139">
        <f t="shared" si="2"/>
        <v>45565</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0</v>
      </c>
      <c r="G22" s="139">
        <f t="shared" si="2"/>
        <v>45565</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0</v>
      </c>
      <c r="G23" s="139">
        <f t="shared" si="2"/>
        <v>45565</v>
      </c>
      <c r="H23" s="105">
        <v>22</v>
      </c>
      <c r="I23" s="105">
        <f t="shared" si="3"/>
        <v>2024</v>
      </c>
      <c r="J23" s="55" t="str">
        <f t="shared" ca="1" si="7"/>
        <v/>
      </c>
      <c r="K23" s="55">
        <f t="shared" ca="1" si="8"/>
        <v>21426944</v>
      </c>
      <c r="L23" s="55">
        <f t="shared" ca="1" si="4"/>
        <v>899005</v>
      </c>
      <c r="M23" s="55">
        <f t="shared" ca="1" si="9"/>
        <v>20527939</v>
      </c>
      <c r="N23" s="55">
        <f t="shared" ca="1" si="5"/>
        <v>20527939</v>
      </c>
    </row>
    <row r="24" spans="1:14" x14ac:dyDescent="0.2">
      <c r="A24" s="105">
        <v>23</v>
      </c>
      <c r="B24" s="105" t="str">
        <f>VLOOKUP( $A24, Aop!$A$2:$P$453, 2, 0)</f>
        <v>BSa</v>
      </c>
      <c r="C24" s="105">
        <v>25</v>
      </c>
      <c r="D24" s="105" t="str">
        <f t="shared" si="0"/>
        <v>01814788</v>
      </c>
      <c r="E24" s="105" t="str">
        <f t="shared" si="6"/>
        <v>4400570050004</v>
      </c>
      <c r="F24" s="105" t="b">
        <f t="shared" si="1"/>
        <v>0</v>
      </c>
      <c r="G24" s="139">
        <f t="shared" si="2"/>
        <v>45565</v>
      </c>
      <c r="H24" s="105">
        <v>23</v>
      </c>
      <c r="I24" s="105">
        <f t="shared" si="3"/>
        <v>2024</v>
      </c>
      <c r="J24" s="55" t="str">
        <f t="shared" ca="1" si="7"/>
        <v/>
      </c>
      <c r="K24" s="55">
        <f t="shared" ca="1" si="8"/>
        <v>20480669</v>
      </c>
      <c r="L24" s="55" t="str">
        <f t="shared" ca="1" si="4"/>
        <v/>
      </c>
      <c r="M24" s="55">
        <f t="shared" ca="1" si="9"/>
        <v>20480669</v>
      </c>
      <c r="N24" s="55">
        <f t="shared" ca="1" si="5"/>
        <v>20480669</v>
      </c>
    </row>
    <row r="25" spans="1:14" x14ac:dyDescent="0.2">
      <c r="A25" s="105">
        <v>24</v>
      </c>
      <c r="B25" s="105" t="str">
        <f>VLOOKUP( $A25, Aop!$A$2:$P$453, 2, 0)</f>
        <v>BSa</v>
      </c>
      <c r="C25" s="105">
        <v>25</v>
      </c>
      <c r="D25" s="105" t="str">
        <f t="shared" si="0"/>
        <v>01814788</v>
      </c>
      <c r="E25" s="105" t="str">
        <f t="shared" si="6"/>
        <v>4400570050004</v>
      </c>
      <c r="F25" s="105" t="b">
        <f t="shared" si="1"/>
        <v>0</v>
      </c>
      <c r="G25" s="139">
        <f t="shared" si="2"/>
        <v>45565</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0</v>
      </c>
      <c r="G26" s="139">
        <f t="shared" si="2"/>
        <v>45565</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0</v>
      </c>
      <c r="G27" s="139">
        <f t="shared" si="2"/>
        <v>45565</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0</v>
      </c>
      <c r="G28" s="139">
        <f t="shared" si="2"/>
        <v>45565</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0</v>
      </c>
      <c r="G29" s="139">
        <f t="shared" si="2"/>
        <v>45565</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0</v>
      </c>
      <c r="G30" s="139">
        <f t="shared" si="2"/>
        <v>45565</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0</v>
      </c>
      <c r="G31" s="139">
        <f t="shared" si="2"/>
        <v>45565</v>
      </c>
      <c r="H31" s="105">
        <v>30</v>
      </c>
      <c r="I31" s="105">
        <f t="shared" si="3"/>
        <v>2024</v>
      </c>
      <c r="J31" s="55" t="str">
        <f t="shared" ca="1" si="7"/>
        <v/>
      </c>
      <c r="K31" s="55">
        <f t="shared" ca="1" si="8"/>
        <v>47270</v>
      </c>
      <c r="L31" s="55">
        <f t="shared" ca="1" si="4"/>
        <v>0</v>
      </c>
      <c r="M31" s="55">
        <f t="shared" ca="1" si="9"/>
        <v>47270</v>
      </c>
      <c r="N31" s="55">
        <f t="shared" ca="1" si="5"/>
        <v>47270</v>
      </c>
    </row>
    <row r="32" spans="1:14" x14ac:dyDescent="0.2">
      <c r="A32" s="105">
        <v>31</v>
      </c>
      <c r="B32" s="105" t="str">
        <f>VLOOKUP( $A32, Aop!$A$2:$P$453, 2, 0)</f>
        <v>BSa</v>
      </c>
      <c r="C32" s="105">
        <v>25</v>
      </c>
      <c r="D32" s="105" t="str">
        <f t="shared" si="0"/>
        <v>01814788</v>
      </c>
      <c r="E32" s="105" t="str">
        <f t="shared" si="6"/>
        <v>4400570050004</v>
      </c>
      <c r="F32" s="105" t="b">
        <f t="shared" si="1"/>
        <v>0</v>
      </c>
      <c r="G32" s="139">
        <f t="shared" si="2"/>
        <v>45565</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0</v>
      </c>
      <c r="G33" s="139">
        <f t="shared" si="2"/>
        <v>45565</v>
      </c>
      <c r="H33" s="105">
        <v>32</v>
      </c>
      <c r="I33" s="105">
        <f t="shared" si="3"/>
        <v>2024</v>
      </c>
      <c r="J33" s="55" t="str">
        <f t="shared" ca="1" si="7"/>
        <v/>
      </c>
      <c r="K33" s="55">
        <f t="shared" ca="1" si="8"/>
        <v>47270</v>
      </c>
      <c r="L33" s="55" t="str">
        <f t="shared" ca="1" si="4"/>
        <v/>
      </c>
      <c r="M33" s="55">
        <f t="shared" ca="1" si="9"/>
        <v>47270</v>
      </c>
      <c r="N33" s="55">
        <f t="shared" ca="1" si="5"/>
        <v>47270</v>
      </c>
    </row>
    <row r="34" spans="1:14" x14ac:dyDescent="0.2">
      <c r="A34" s="105">
        <v>33</v>
      </c>
      <c r="B34" s="105" t="str">
        <f>VLOOKUP( $A34, Aop!$A$2:$P$453, 2, 0)</f>
        <v>BSa</v>
      </c>
      <c r="C34" s="105">
        <v>25</v>
      </c>
      <c r="D34" s="105" t="str">
        <f t="shared" si="0"/>
        <v>01814788</v>
      </c>
      <c r="E34" s="105" t="str">
        <f t="shared" si="6"/>
        <v>4400570050004</v>
      </c>
      <c r="F34" s="105" t="b">
        <f t="shared" si="1"/>
        <v>0</v>
      </c>
      <c r="G34" s="139">
        <f t="shared" si="2"/>
        <v>45565</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0</v>
      </c>
      <c r="G35" s="139">
        <f t="shared" si="2"/>
        <v>45565</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0</v>
      </c>
      <c r="G36" s="139">
        <f t="shared" si="2"/>
        <v>45565</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0</v>
      </c>
      <c r="G37" s="139">
        <f t="shared" si="2"/>
        <v>45565</v>
      </c>
      <c r="H37" s="105">
        <v>36</v>
      </c>
      <c r="I37" s="105">
        <f t="shared" si="3"/>
        <v>2024</v>
      </c>
      <c r="J37" s="55" t="str">
        <f t="shared" ca="1" si="7"/>
        <v/>
      </c>
      <c r="K37" s="55">
        <f t="shared" ca="1" si="8"/>
        <v>63114464</v>
      </c>
      <c r="L37" s="55">
        <f t="shared" ca="1" si="4"/>
        <v>49644366</v>
      </c>
      <c r="M37" s="55">
        <f t="shared" ca="1" si="9"/>
        <v>13470098</v>
      </c>
      <c r="N37" s="55">
        <f t="shared" ca="1" si="5"/>
        <v>13470098</v>
      </c>
    </row>
    <row r="38" spans="1:14" x14ac:dyDescent="0.2">
      <c r="A38" s="105">
        <v>37</v>
      </c>
      <c r="B38" s="105" t="str">
        <f>VLOOKUP( $A38, Aop!$A$2:$P$453, 2, 0)</f>
        <v>BSa</v>
      </c>
      <c r="C38" s="105">
        <v>25</v>
      </c>
      <c r="D38" s="105" t="str">
        <f t="shared" si="0"/>
        <v>01814788</v>
      </c>
      <c r="E38" s="105" t="str">
        <f t="shared" si="6"/>
        <v>4400570050004</v>
      </c>
      <c r="F38" s="105" t="b">
        <f t="shared" si="1"/>
        <v>0</v>
      </c>
      <c r="G38" s="139">
        <f t="shared" si="2"/>
        <v>45565</v>
      </c>
      <c r="H38" s="105">
        <v>37</v>
      </c>
      <c r="I38" s="105">
        <f t="shared" si="3"/>
        <v>2024</v>
      </c>
      <c r="J38" s="55" t="str">
        <f t="shared" ca="1" si="7"/>
        <v/>
      </c>
      <c r="K38" s="55">
        <f t="shared" ca="1" si="8"/>
        <v>5143109</v>
      </c>
      <c r="L38" s="55">
        <f t="shared" ca="1" si="4"/>
        <v>1306088</v>
      </c>
      <c r="M38" s="55">
        <f t="shared" ca="1" si="9"/>
        <v>3837021</v>
      </c>
      <c r="N38" s="55">
        <f t="shared" ca="1" si="5"/>
        <v>3837021</v>
      </c>
    </row>
    <row r="39" spans="1:14" x14ac:dyDescent="0.2">
      <c r="A39" s="105">
        <v>38</v>
      </c>
      <c r="B39" s="105" t="str">
        <f>VLOOKUP( $A39, Aop!$A$2:$P$453, 2, 0)</f>
        <v>BSa</v>
      </c>
      <c r="C39" s="105">
        <v>25</v>
      </c>
      <c r="D39" s="105" t="str">
        <f t="shared" si="0"/>
        <v>01814788</v>
      </c>
      <c r="E39" s="105" t="str">
        <f t="shared" si="6"/>
        <v>4400570050004</v>
      </c>
      <c r="F39" s="105" t="b">
        <f t="shared" si="1"/>
        <v>0</v>
      </c>
      <c r="G39" s="139">
        <f t="shared" si="2"/>
        <v>45565</v>
      </c>
      <c r="H39" s="105">
        <v>38</v>
      </c>
      <c r="I39" s="105">
        <f t="shared" si="3"/>
        <v>2024</v>
      </c>
      <c r="J39" s="55" t="str">
        <f t="shared" ca="1" si="7"/>
        <v/>
      </c>
      <c r="K39" s="55">
        <f t="shared" ca="1" si="8"/>
        <v>5048467</v>
      </c>
      <c r="L39" s="55">
        <f t="shared" ca="1" si="4"/>
        <v>1229761</v>
      </c>
      <c r="M39" s="55">
        <f t="shared" ca="1" si="9"/>
        <v>3818706</v>
      </c>
      <c r="N39" s="55">
        <f t="shared" ca="1" si="5"/>
        <v>3818706</v>
      </c>
    </row>
    <row r="40" spans="1:14" x14ac:dyDescent="0.2">
      <c r="A40" s="105">
        <v>39</v>
      </c>
      <c r="B40" s="105" t="str">
        <f>VLOOKUP( $A40, Aop!$A$2:$P$453, 2, 0)</f>
        <v>BSa</v>
      </c>
      <c r="C40" s="105">
        <v>25</v>
      </c>
      <c r="D40" s="105" t="str">
        <f t="shared" si="0"/>
        <v>01814788</v>
      </c>
      <c r="E40" s="105" t="str">
        <f t="shared" si="6"/>
        <v>4400570050004</v>
      </c>
      <c r="F40" s="105" t="b">
        <f t="shared" si="1"/>
        <v>0</v>
      </c>
      <c r="G40" s="139">
        <f t="shared" si="2"/>
        <v>45565</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0</v>
      </c>
      <c r="G41" s="139">
        <f t="shared" si="2"/>
        <v>45565</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0</v>
      </c>
      <c r="G42" s="139">
        <f t="shared" si="2"/>
        <v>45565</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0</v>
      </c>
      <c r="G43" s="139">
        <f t="shared" si="2"/>
        <v>45565</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0</v>
      </c>
      <c r="G44" s="139">
        <f t="shared" si="2"/>
        <v>45565</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0</v>
      </c>
      <c r="G45" s="139">
        <f t="shared" si="2"/>
        <v>45565</v>
      </c>
      <c r="H45" s="105">
        <v>44</v>
      </c>
      <c r="I45" s="105">
        <f t="shared" si="3"/>
        <v>2024</v>
      </c>
      <c r="J45" s="55" t="str">
        <f t="shared" ca="1" si="7"/>
        <v/>
      </c>
      <c r="K45" s="55">
        <f t="shared" ca="1" si="8"/>
        <v>57971355</v>
      </c>
      <c r="L45" s="55">
        <f t="shared" ca="1" si="4"/>
        <v>48338278</v>
      </c>
      <c r="M45" s="55">
        <f t="shared" ca="1" si="9"/>
        <v>9633077</v>
      </c>
      <c r="N45" s="55">
        <f t="shared" ca="1" si="5"/>
        <v>9633077</v>
      </c>
    </row>
    <row r="46" spans="1:14" x14ac:dyDescent="0.2">
      <c r="A46" s="105">
        <v>45</v>
      </c>
      <c r="B46" s="105" t="str">
        <f>VLOOKUP( $A46, Aop!$A$2:$P$453, 2, 0)</f>
        <v>BSa</v>
      </c>
      <c r="C46" s="105">
        <v>25</v>
      </c>
      <c r="D46" s="105" t="str">
        <f t="shared" si="0"/>
        <v>01814788</v>
      </c>
      <c r="E46" s="105" t="str">
        <f t="shared" si="6"/>
        <v>4400570050004</v>
      </c>
      <c r="F46" s="105" t="b">
        <f t="shared" si="1"/>
        <v>0</v>
      </c>
      <c r="G46" s="139">
        <f t="shared" si="2"/>
        <v>45565</v>
      </c>
      <c r="H46" s="105">
        <v>45</v>
      </c>
      <c r="I46" s="105">
        <f t="shared" si="3"/>
        <v>2024</v>
      </c>
      <c r="J46" s="55" t="str">
        <f t="shared" ca="1" si="7"/>
        <v/>
      </c>
      <c r="K46" s="55">
        <f t="shared" ca="1" si="8"/>
        <v>54617638</v>
      </c>
      <c r="L46" s="55">
        <f t="shared" ca="1" si="4"/>
        <v>48089298</v>
      </c>
      <c r="M46" s="55">
        <f t="shared" ca="1" si="9"/>
        <v>6528340</v>
      </c>
      <c r="N46" s="55">
        <f t="shared" ca="1" si="5"/>
        <v>6528340</v>
      </c>
    </row>
    <row r="47" spans="1:14" x14ac:dyDescent="0.2">
      <c r="A47" s="105">
        <v>46</v>
      </c>
      <c r="B47" s="105" t="str">
        <f>VLOOKUP( $A47, Aop!$A$2:$P$453, 2, 0)</f>
        <v>BSa</v>
      </c>
      <c r="C47" s="105">
        <v>25</v>
      </c>
      <c r="D47" s="105" t="str">
        <f t="shared" si="0"/>
        <v>01814788</v>
      </c>
      <c r="E47" s="105" t="str">
        <f t="shared" si="6"/>
        <v>4400570050004</v>
      </c>
      <c r="F47" s="105" t="b">
        <f t="shared" si="1"/>
        <v>0</v>
      </c>
      <c r="G47" s="139">
        <f t="shared" si="2"/>
        <v>45565</v>
      </c>
      <c r="H47" s="105">
        <v>46</v>
      </c>
      <c r="I47" s="105">
        <f t="shared" si="3"/>
        <v>2024</v>
      </c>
      <c r="J47" s="55" t="str">
        <f t="shared" ca="1" si="7"/>
        <v/>
      </c>
      <c r="K47" s="55">
        <f t="shared" ca="1" si="8"/>
        <v>3798512</v>
      </c>
      <c r="L47" s="55">
        <f t="shared" ca="1" si="4"/>
        <v>35999</v>
      </c>
      <c r="M47" s="55">
        <f t="shared" ca="1" si="9"/>
        <v>3762513</v>
      </c>
      <c r="N47" s="55">
        <f t="shared" ca="1" si="5"/>
        <v>3762513</v>
      </c>
    </row>
    <row r="48" spans="1:14" x14ac:dyDescent="0.2">
      <c r="A48" s="105">
        <v>47</v>
      </c>
      <c r="B48" s="105" t="str">
        <f>VLOOKUP( $A48, Aop!$A$2:$P$453, 2, 0)</f>
        <v>BSa</v>
      </c>
      <c r="C48" s="105">
        <v>25</v>
      </c>
      <c r="D48" s="105" t="str">
        <f t="shared" si="0"/>
        <v>01814788</v>
      </c>
      <c r="E48" s="105" t="str">
        <f t="shared" si="6"/>
        <v>4400570050004</v>
      </c>
      <c r="F48" s="105" t="b">
        <f t="shared" si="1"/>
        <v>0</v>
      </c>
      <c r="G48" s="139">
        <f t="shared" si="2"/>
        <v>45565</v>
      </c>
      <c r="H48" s="105">
        <v>47</v>
      </c>
      <c r="I48" s="105">
        <f t="shared" si="3"/>
        <v>2024</v>
      </c>
      <c r="J48" s="55" t="str">
        <f t="shared" ca="1" si="7"/>
        <v/>
      </c>
      <c r="K48" s="55">
        <f t="shared" ca="1" si="8"/>
        <v>40087729</v>
      </c>
      <c r="L48" s="55">
        <f t="shared" ca="1" si="4"/>
        <v>39953156</v>
      </c>
      <c r="M48" s="55">
        <f t="shared" ca="1" si="9"/>
        <v>134573</v>
      </c>
      <c r="N48" s="55">
        <f t="shared" ca="1" si="5"/>
        <v>134573</v>
      </c>
    </row>
    <row r="49" spans="1:14" x14ac:dyDescent="0.2">
      <c r="A49" s="105">
        <v>48</v>
      </c>
      <c r="B49" s="105" t="str">
        <f>VLOOKUP( $A49, Aop!$A$2:$P$453, 2, 0)</f>
        <v>BSa</v>
      </c>
      <c r="C49" s="105">
        <v>25</v>
      </c>
      <c r="D49" s="105" t="str">
        <f t="shared" si="0"/>
        <v>01814788</v>
      </c>
      <c r="E49" s="105" t="str">
        <f t="shared" si="6"/>
        <v>4400570050004</v>
      </c>
      <c r="F49" s="105" t="b">
        <f t="shared" si="1"/>
        <v>0</v>
      </c>
      <c r="G49" s="139">
        <f t="shared" si="2"/>
        <v>45565</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0</v>
      </c>
      <c r="G50" s="139">
        <f t="shared" si="2"/>
        <v>45565</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0</v>
      </c>
      <c r="G51" s="139">
        <f t="shared" si="2"/>
        <v>45565</v>
      </c>
      <c r="H51" s="105">
        <v>50</v>
      </c>
      <c r="I51" s="105">
        <f t="shared" si="3"/>
        <v>2024</v>
      </c>
      <c r="J51" s="55" t="str">
        <f t="shared" ca="1" si="7"/>
        <v/>
      </c>
      <c r="K51" s="55">
        <f t="shared" ca="1" si="8"/>
        <v>10731397</v>
      </c>
      <c r="L51" s="55">
        <f t="shared" ca="1" si="4"/>
        <v>8100143</v>
      </c>
      <c r="M51" s="55">
        <f t="shared" ca="1" si="9"/>
        <v>2631254</v>
      </c>
      <c r="N51" s="55">
        <f t="shared" ca="1" si="5"/>
        <v>2631254</v>
      </c>
    </row>
    <row r="52" spans="1:14" x14ac:dyDescent="0.2">
      <c r="A52" s="105">
        <v>51</v>
      </c>
      <c r="B52" s="105" t="str">
        <f>VLOOKUP( $A52, Aop!$A$2:$P$453, 2, 0)</f>
        <v>BSa</v>
      </c>
      <c r="C52" s="105">
        <v>25</v>
      </c>
      <c r="D52" s="105" t="str">
        <f t="shared" si="0"/>
        <v>01814788</v>
      </c>
      <c r="E52" s="105" t="str">
        <f t="shared" si="6"/>
        <v>4400570050004</v>
      </c>
      <c r="F52" s="105" t="b">
        <f t="shared" si="1"/>
        <v>0</v>
      </c>
      <c r="G52" s="139">
        <f t="shared" si="2"/>
        <v>45565</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0</v>
      </c>
      <c r="G53" s="139">
        <f t="shared" si="2"/>
        <v>45565</v>
      </c>
      <c r="H53" s="105">
        <v>52</v>
      </c>
      <c r="I53" s="105">
        <f t="shared" si="3"/>
        <v>2024</v>
      </c>
      <c r="J53" s="55" t="str">
        <f t="shared" ca="1" si="7"/>
        <v/>
      </c>
      <c r="K53" s="55">
        <f t="shared" ca="1" si="8"/>
        <v>258113</v>
      </c>
      <c r="L53" s="55">
        <f t="shared" ca="1" si="4"/>
        <v>248980</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0</v>
      </c>
      <c r="G54" s="139">
        <f t="shared" si="2"/>
        <v>45565</v>
      </c>
      <c r="H54" s="105">
        <v>53</v>
      </c>
      <c r="I54" s="105">
        <f t="shared" si="3"/>
        <v>2024</v>
      </c>
      <c r="J54" s="55" t="str">
        <f t="shared" ca="1" si="7"/>
        <v/>
      </c>
      <c r="K54" s="55">
        <f t="shared" ca="1" si="8"/>
        <v>258113</v>
      </c>
      <c r="L54" s="55">
        <f t="shared" ca="1" si="4"/>
        <v>248980</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0</v>
      </c>
      <c r="G55" s="139">
        <f t="shared" si="2"/>
        <v>45565</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0</v>
      </c>
      <c r="G56" s="139">
        <f t="shared" si="2"/>
        <v>45565</v>
      </c>
      <c r="H56" s="105">
        <v>55</v>
      </c>
      <c r="I56" s="105">
        <f t="shared" si="3"/>
        <v>2024</v>
      </c>
      <c r="J56" s="55" t="str">
        <f t="shared" ca="1" si="7"/>
        <v/>
      </c>
      <c r="K56" s="55">
        <f t="shared" ca="1" si="8"/>
        <v>258113</v>
      </c>
      <c r="L56" s="55">
        <f t="shared" ca="1" si="4"/>
        <v>248980</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0</v>
      </c>
      <c r="G57" s="139">
        <f t="shared" si="2"/>
        <v>45565</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0</v>
      </c>
      <c r="G58" s="139">
        <f t="shared" si="2"/>
        <v>45565</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0</v>
      </c>
      <c r="G59" s="139">
        <f t="shared" si="2"/>
        <v>45565</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0</v>
      </c>
      <c r="G60" s="139">
        <f t="shared" si="2"/>
        <v>45565</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0</v>
      </c>
      <c r="G61" s="139">
        <f t="shared" si="2"/>
        <v>45565</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0</v>
      </c>
      <c r="G62" s="139">
        <f t="shared" si="2"/>
        <v>45565</v>
      </c>
      <c r="H62" s="105">
        <v>61</v>
      </c>
      <c r="I62" s="105">
        <f t="shared" si="3"/>
        <v>2024</v>
      </c>
      <c r="J62" s="55" t="str">
        <f t="shared" ca="1" si="7"/>
        <v/>
      </c>
      <c r="K62" s="55">
        <f t="shared" ca="1" si="8"/>
        <v>2700093</v>
      </c>
      <c r="L62" s="55">
        <f t="shared" ca="1" si="4"/>
        <v>0</v>
      </c>
      <c r="M62" s="55">
        <f t="shared" ca="1" si="9"/>
        <v>2700093</v>
      </c>
      <c r="N62" s="55">
        <f t="shared" ca="1" si="5"/>
        <v>2700093</v>
      </c>
    </row>
    <row r="63" spans="1:14" x14ac:dyDescent="0.2">
      <c r="A63" s="105">
        <v>62</v>
      </c>
      <c r="B63" s="105" t="str">
        <f>VLOOKUP( $A63, Aop!$A$2:$P$453, 2, 0)</f>
        <v>BSa</v>
      </c>
      <c r="C63" s="105">
        <v>25</v>
      </c>
      <c r="D63" s="105" t="str">
        <f t="shared" si="0"/>
        <v>01814788</v>
      </c>
      <c r="E63" s="105" t="str">
        <f t="shared" si="6"/>
        <v>4400570050004</v>
      </c>
      <c r="F63" s="105" t="b">
        <f t="shared" si="1"/>
        <v>0</v>
      </c>
      <c r="G63" s="139">
        <f t="shared" si="2"/>
        <v>45565</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0</v>
      </c>
      <c r="G64" s="139">
        <f t="shared" si="2"/>
        <v>45565</v>
      </c>
      <c r="H64" s="105">
        <v>63</v>
      </c>
      <c r="I64" s="105">
        <f t="shared" si="3"/>
        <v>2024</v>
      </c>
      <c r="J64" s="55" t="str">
        <f t="shared" ca="1" si="7"/>
        <v/>
      </c>
      <c r="K64" s="55">
        <f t="shared" ca="1" si="8"/>
        <v>2700093</v>
      </c>
      <c r="L64" s="55" t="str">
        <f t="shared" ca="1" si="4"/>
        <v/>
      </c>
      <c r="M64" s="55">
        <f t="shared" ca="1" si="9"/>
        <v>2700093</v>
      </c>
      <c r="N64" s="55">
        <f t="shared" ca="1" si="5"/>
        <v>2700093</v>
      </c>
    </row>
    <row r="65" spans="1:14" x14ac:dyDescent="0.2">
      <c r="A65" s="105">
        <v>64</v>
      </c>
      <c r="B65" s="105" t="str">
        <f>VLOOKUP( $A65, Aop!$A$2:$P$453, 2, 0)</f>
        <v>BSa</v>
      </c>
      <c r="C65" s="105">
        <v>25</v>
      </c>
      <c r="D65" s="105" t="str">
        <f t="shared" si="0"/>
        <v>01814788</v>
      </c>
      <c r="E65" s="105" t="str">
        <f t="shared" si="6"/>
        <v>4400570050004</v>
      </c>
      <c r="F65" s="105" t="b">
        <f t="shared" si="1"/>
        <v>0</v>
      </c>
      <c r="G65" s="139">
        <f t="shared" si="2"/>
        <v>45565</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01814788</v>
      </c>
      <c r="E66" s="55" t="str">
        <f>Podatak_JIB</f>
        <v>4400570050004</v>
      </c>
      <c r="F66" s="55" t="b">
        <f>Konsolidovan_izvjestaj</f>
        <v>0</v>
      </c>
      <c r="G66" s="139">
        <f>Datum_Broj</f>
        <v>45565</v>
      </c>
      <c r="H66" s="105">
        <v>65</v>
      </c>
      <c r="I66" s="55">
        <f>Godina</f>
        <v>2024</v>
      </c>
      <c r="J66" s="55" t="str">
        <f t="shared" ca="1" si="7"/>
        <v/>
      </c>
      <c r="K66" s="55">
        <f t="shared" ca="1" si="8"/>
        <v>395511</v>
      </c>
      <c r="L66" s="55" t="str">
        <f t="shared" ref="L66:L131" ca="1" si="10">IF( VLOOKUP( $H66, INDIRECT( "Lookup_" &amp; $B66), IF( LEFT( $B66, 2) = "BS", R$2, R$1), 0) = "", "", VLOOKUP( $H66, INDIRECT( "Lookup_" &amp; $B66), IF( $B66 = "BSa", R$2, R$1), 0))</f>
        <v/>
      </c>
      <c r="M66" s="55">
        <f t="shared" ca="1" si="9"/>
        <v>395511</v>
      </c>
      <c r="N66" s="55">
        <f t="shared" ref="N66:N129" ca="1" si="11">IF( VLOOKUP( $H66, INDIRECT( "Lookup_" &amp; $B66), IF( LEFT( $B66, 2) = "BS", S$2, S$1), 0) = "", "", VLOOKUP( $H66, INDIRECT( "Lookup_" &amp; $B66), IF( LEFT( $B66, 2) = "BS", S$2, S$1), 0))</f>
        <v>395511</v>
      </c>
    </row>
    <row r="67" spans="1:14" x14ac:dyDescent="0.2">
      <c r="A67" s="105">
        <v>66</v>
      </c>
      <c r="B67" s="55" t="str">
        <f>VLOOKUP( $A67, Aop!$A$2:$P$453, 2, 0)</f>
        <v>BSa</v>
      </c>
      <c r="C67" s="105">
        <v>25</v>
      </c>
      <c r="D67" s="55" t="str">
        <f>Podatak_MB</f>
        <v>01814788</v>
      </c>
      <c r="E67" s="55" t="str">
        <f>Podatak_JIB</f>
        <v>4400570050004</v>
      </c>
      <c r="F67" s="55" t="b">
        <f>Konsolidovan_izvjestaj</f>
        <v>0</v>
      </c>
      <c r="G67" s="139">
        <f>Datum_Broj</f>
        <v>45565</v>
      </c>
      <c r="H67" s="105">
        <v>66</v>
      </c>
      <c r="I67" s="55">
        <f>Godina</f>
        <v>2024</v>
      </c>
      <c r="J67" s="55" t="str">
        <f t="shared" ca="1" si="7"/>
        <v/>
      </c>
      <c r="K67" s="55">
        <f t="shared" ca="1" si="8"/>
        <v>398784317.01999998</v>
      </c>
      <c r="L67" s="55">
        <f ca="1">IF( VLOOKUP( $H67, INDIRECT( "Lookup_" &amp; $B67), IF( LEFT( $B67, 2) = "BS", R$2, R$1), 0) = "", "", VLOOKUP( $H67, INDIRECT( "Lookup_" &amp; $B67), IF( $B67 = "BSa", R$2, R$1), 0))</f>
        <v>250223522</v>
      </c>
      <c r="M67" s="55">
        <f t="shared" ca="1" si="9"/>
        <v>148560795.01999998</v>
      </c>
      <c r="N67" s="55">
        <f t="shared" ca="1" si="11"/>
        <v>148560795.01999998</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0</v>
      </c>
      <c r="G68" s="139">
        <f t="shared" ref="G68:G131" si="15">Datum_Broj</f>
        <v>45565</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28922698</v>
      </c>
      <c r="L68" s="55" t="str">
        <f t="shared" ca="1" si="10"/>
        <v/>
      </c>
      <c r="M68" s="55">
        <f t="shared" ref="M68:M131" ca="1" si="19">IF( VLOOKUP( $H68, INDIRECT( "Lookup_" &amp; $B68), IF( LEFT( $B68, 2) = "BS", S$2, S$1), 0) = "", "", VLOOKUP( $H68, INDIRECT( "Lookup_" &amp; $B68), IF( LEFT( $B68, 2) = "BS", S$2, S$1), 0))</f>
        <v>28922698</v>
      </c>
      <c r="N68" s="55">
        <f t="shared" ca="1" si="11"/>
        <v>28922698</v>
      </c>
    </row>
    <row r="69" spans="1:14" x14ac:dyDescent="0.2">
      <c r="A69" s="105">
        <v>68</v>
      </c>
      <c r="B69" s="105" t="str">
        <f>VLOOKUP( $A69, Aop!$A$2:$P$453, 2, 0)</f>
        <v>BSp</v>
      </c>
      <c r="C69" s="105">
        <v>26</v>
      </c>
      <c r="D69" s="105" t="str">
        <f>Podatak_MB</f>
        <v>01814788</v>
      </c>
      <c r="E69" s="105" t="str">
        <f>Podatak_JIB</f>
        <v>4400570050004</v>
      </c>
      <c r="F69" s="105" t="b">
        <f>Konsolidovan_izvjestaj</f>
        <v>0</v>
      </c>
      <c r="G69" s="139">
        <f>Datum_Broj</f>
        <v>45565</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99681716</v>
      </c>
      <c r="N69" s="55">
        <f t="shared" ca="1" si="11"/>
        <v>99681716</v>
      </c>
    </row>
    <row r="70" spans="1:14" x14ac:dyDescent="0.2">
      <c r="A70" s="105">
        <v>69</v>
      </c>
      <c r="B70" s="105" t="str">
        <f>VLOOKUP( $A70, Aop!$A$2:$P$453, 2, 0)</f>
        <v>BSp</v>
      </c>
      <c r="C70" s="105">
        <v>26</v>
      </c>
      <c r="D70" s="105" t="str">
        <f t="shared" si="12"/>
        <v>01814788</v>
      </c>
      <c r="E70" s="105" t="str">
        <f t="shared" si="13"/>
        <v>4400570050004</v>
      </c>
      <c r="F70" s="105" t="b">
        <f t="shared" si="14"/>
        <v>0</v>
      </c>
      <c r="G70" s="139">
        <f t="shared" si="15"/>
        <v>45565</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0</v>
      </c>
      <c r="G71" s="139">
        <f t="shared" si="15"/>
        <v>45565</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0</v>
      </c>
      <c r="G72" s="139">
        <f t="shared" si="15"/>
        <v>45565</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0</v>
      </c>
      <c r="G73" s="139">
        <f t="shared" si="15"/>
        <v>45565</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0</v>
      </c>
      <c r="G74" s="139">
        <f t="shared" si="15"/>
        <v>45565</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0</v>
      </c>
      <c r="G75" s="139">
        <f t="shared" si="15"/>
        <v>45565</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0</v>
      </c>
      <c r="G76" s="139">
        <f t="shared" si="15"/>
        <v>45565</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0</v>
      </c>
      <c r="G77" s="139">
        <f t="shared" si="15"/>
        <v>45565</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0</v>
      </c>
      <c r="G78" s="139">
        <f t="shared" si="15"/>
        <v>45565</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0</v>
      </c>
      <c r="G79" s="139">
        <f t="shared" si="15"/>
        <v>45565</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0</v>
      </c>
      <c r="G80" s="139">
        <f t="shared" si="15"/>
        <v>45565</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0</v>
      </c>
      <c r="G81" s="139">
        <f t="shared" si="15"/>
        <v>45565</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0</v>
      </c>
      <c r="G82" s="139">
        <f t="shared" si="15"/>
        <v>45565</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0</v>
      </c>
      <c r="G83" s="139">
        <f t="shared" si="15"/>
        <v>45565</v>
      </c>
      <c r="H83" s="105">
        <f>VLOOKUP( $A83, Aop!$A$2:$P$453, 4, 0)</f>
        <v>115</v>
      </c>
      <c r="I83" s="105">
        <f t="shared" si="16"/>
        <v>2024</v>
      </c>
      <c r="J83" s="55" t="str">
        <f t="shared" ca="1" si="20"/>
        <v/>
      </c>
      <c r="K83" s="55"/>
      <c r="L83" s="55" t="str">
        <f t="shared" ca="1" si="10"/>
        <v/>
      </c>
      <c r="M83" s="55">
        <f t="shared" ca="1" si="19"/>
        <v>14738412</v>
      </c>
      <c r="N83" s="55">
        <f t="shared" ca="1" si="11"/>
        <v>14738412</v>
      </c>
    </row>
    <row r="84" spans="1:14" x14ac:dyDescent="0.2">
      <c r="A84" s="105">
        <v>83</v>
      </c>
      <c r="B84" s="105" t="str">
        <f>VLOOKUP( $A84, Aop!$A$2:$P$453, 2, 0)</f>
        <v>BSp</v>
      </c>
      <c r="C84" s="105">
        <v>26</v>
      </c>
      <c r="D84" s="105" t="str">
        <f t="shared" si="12"/>
        <v>01814788</v>
      </c>
      <c r="E84" s="105" t="str">
        <f t="shared" si="13"/>
        <v>4400570050004</v>
      </c>
      <c r="F84" s="105" t="b">
        <f t="shared" si="14"/>
        <v>0</v>
      </c>
      <c r="G84" s="139">
        <f t="shared" si="15"/>
        <v>45565</v>
      </c>
      <c r="H84" s="105">
        <f>VLOOKUP( $A84, Aop!$A$2:$P$453, 4, 0)</f>
        <v>116</v>
      </c>
      <c r="I84" s="105">
        <f t="shared" si="16"/>
        <v>2024</v>
      </c>
      <c r="J84" s="55" t="str">
        <f t="shared" ca="1" si="20"/>
        <v/>
      </c>
      <c r="K84" s="55"/>
      <c r="L84" s="55" t="str">
        <f t="shared" ca="1" si="10"/>
        <v/>
      </c>
      <c r="M84" s="55">
        <f t="shared" ca="1" si="19"/>
        <v>753359</v>
      </c>
      <c r="N84" s="55">
        <f t="shared" ca="1" si="11"/>
        <v>753359</v>
      </c>
    </row>
    <row r="85" spans="1:14" x14ac:dyDescent="0.2">
      <c r="A85" s="105">
        <v>84</v>
      </c>
      <c r="B85" s="105" t="str">
        <f>VLOOKUP( $A85, Aop!$A$2:$P$453, 2, 0)</f>
        <v>BSp</v>
      </c>
      <c r="C85" s="105">
        <v>26</v>
      </c>
      <c r="D85" s="105" t="str">
        <f t="shared" si="12"/>
        <v>01814788</v>
      </c>
      <c r="E85" s="105" t="str">
        <f t="shared" si="13"/>
        <v>4400570050004</v>
      </c>
      <c r="F85" s="105" t="b">
        <f t="shared" si="14"/>
        <v>0</v>
      </c>
      <c r="G85" s="139">
        <f t="shared" si="15"/>
        <v>45565</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0</v>
      </c>
      <c r="G86" s="139">
        <f t="shared" si="15"/>
        <v>45565</v>
      </c>
      <c r="H86" s="105">
        <f>VLOOKUP( $A86, Aop!$A$2:$P$453, 4, 0)</f>
        <v>118</v>
      </c>
      <c r="I86" s="105">
        <f t="shared" si="16"/>
        <v>2024</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0</v>
      </c>
      <c r="G87" s="139">
        <f t="shared" si="15"/>
        <v>45565</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0</v>
      </c>
      <c r="G88" s="139">
        <f t="shared" si="15"/>
        <v>45565</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0</v>
      </c>
      <c r="G89" s="139">
        <f t="shared" si="15"/>
        <v>45565</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0</v>
      </c>
      <c r="G90" s="139">
        <f t="shared" si="15"/>
        <v>45565</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0</v>
      </c>
      <c r="G91" s="139">
        <f t="shared" si="15"/>
        <v>45565</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0</v>
      </c>
      <c r="G92" s="139">
        <f t="shared" si="15"/>
        <v>45565</v>
      </c>
      <c r="H92" s="105">
        <f>VLOOKUP( $A92, Aop!$A$2:$P$453, 4, 0)</f>
        <v>124</v>
      </c>
      <c r="I92" s="105">
        <f t="shared" si="16"/>
        <v>2024</v>
      </c>
      <c r="J92" s="55" t="str">
        <f t="shared" ca="1" si="20"/>
        <v/>
      </c>
      <c r="K92" s="55"/>
      <c r="L92" s="55" t="str">
        <f t="shared" ca="1" si="10"/>
        <v/>
      </c>
      <c r="M92" s="55">
        <f t="shared" ca="1" si="19"/>
        <v>41620316</v>
      </c>
      <c r="N92" s="55">
        <f t="shared" ca="1" si="11"/>
        <v>41620316</v>
      </c>
    </row>
    <row r="93" spans="1:14" x14ac:dyDescent="0.2">
      <c r="A93" s="105">
        <v>92</v>
      </c>
      <c r="B93" s="105" t="str">
        <f>VLOOKUP( $A93, Aop!$A$2:$P$453, 2, 0)</f>
        <v>BSp</v>
      </c>
      <c r="C93" s="105">
        <v>26</v>
      </c>
      <c r="D93" s="105" t="str">
        <f t="shared" si="12"/>
        <v>01814788</v>
      </c>
      <c r="E93" s="105" t="str">
        <f t="shared" si="13"/>
        <v>4400570050004</v>
      </c>
      <c r="F93" s="105" t="b">
        <f t="shared" si="14"/>
        <v>0</v>
      </c>
      <c r="G93" s="139">
        <f t="shared" si="15"/>
        <v>45565</v>
      </c>
      <c r="H93" s="105">
        <f>VLOOKUP( $A93, Aop!$A$2:$P$453, 4, 0)</f>
        <v>125</v>
      </c>
      <c r="I93" s="105">
        <f t="shared" si="16"/>
        <v>2024</v>
      </c>
      <c r="J93" s="55" t="str">
        <f t="shared" ca="1" si="20"/>
        <v/>
      </c>
      <c r="K93" s="55"/>
      <c r="L93" s="55" t="str">
        <f t="shared" ca="1" si="10"/>
        <v/>
      </c>
      <c r="M93" s="55">
        <f t="shared" ca="1" si="19"/>
        <v>39143710</v>
      </c>
      <c r="N93" s="55">
        <f t="shared" ca="1" si="11"/>
        <v>39143710</v>
      </c>
    </row>
    <row r="94" spans="1:14" x14ac:dyDescent="0.2">
      <c r="A94" s="105">
        <v>93</v>
      </c>
      <c r="B94" s="105" t="str">
        <f>VLOOKUP( $A94, Aop!$A$2:$P$453, 2, 0)</f>
        <v>BSp</v>
      </c>
      <c r="C94" s="105">
        <v>26</v>
      </c>
      <c r="D94" s="105" t="str">
        <f t="shared" si="12"/>
        <v>01814788</v>
      </c>
      <c r="E94" s="105" t="str">
        <f t="shared" si="13"/>
        <v>4400570050004</v>
      </c>
      <c r="F94" s="105" t="b">
        <f t="shared" si="14"/>
        <v>0</v>
      </c>
      <c r="G94" s="139">
        <f t="shared" si="15"/>
        <v>45565</v>
      </c>
      <c r="H94" s="105">
        <f>VLOOKUP( $A94, Aop!$A$2:$P$453, 4, 0)</f>
        <v>126</v>
      </c>
      <c r="I94" s="105">
        <f t="shared" si="16"/>
        <v>2024</v>
      </c>
      <c r="J94" s="55" t="str">
        <f t="shared" ca="1" si="20"/>
        <v/>
      </c>
      <c r="K94" s="55"/>
      <c r="L94" s="55" t="str">
        <f t="shared" ca="1" si="10"/>
        <v/>
      </c>
      <c r="M94" s="55">
        <f t="shared" ca="1" si="19"/>
        <v>2476606</v>
      </c>
      <c r="N94" s="55">
        <f t="shared" ca="1" si="11"/>
        <v>2476606</v>
      </c>
    </row>
    <row r="95" spans="1:14" x14ac:dyDescent="0.2">
      <c r="A95" s="105">
        <v>94</v>
      </c>
      <c r="B95" s="105" t="str">
        <f>VLOOKUP( $A95, Aop!$A$2:$P$453, 2, 0)</f>
        <v>BSp</v>
      </c>
      <c r="C95" s="105">
        <v>26</v>
      </c>
      <c r="D95" s="105" t="str">
        <f t="shared" si="12"/>
        <v>01814788</v>
      </c>
      <c r="E95" s="105" t="str">
        <f t="shared" si="13"/>
        <v>4400570050004</v>
      </c>
      <c r="F95" s="105" t="b">
        <f t="shared" si="14"/>
        <v>0</v>
      </c>
      <c r="G95" s="139">
        <f t="shared" si="15"/>
        <v>45565</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0</v>
      </c>
      <c r="G96" s="139">
        <f t="shared" si="15"/>
        <v>45565</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0</v>
      </c>
      <c r="G97" s="139">
        <f t="shared" si="15"/>
        <v>45565</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0</v>
      </c>
      <c r="G98" s="139">
        <f t="shared" si="15"/>
        <v>45565</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0</v>
      </c>
      <c r="G99" s="139">
        <f t="shared" si="15"/>
        <v>45565</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0</v>
      </c>
      <c r="G100" s="139">
        <f t="shared" si="15"/>
        <v>45565</v>
      </c>
      <c r="H100" s="105">
        <f>VLOOKUP( $A100, Aop!$A$2:$P$453, 4, 0)</f>
        <v>132</v>
      </c>
      <c r="I100" s="105">
        <f t="shared" si="16"/>
        <v>2024</v>
      </c>
      <c r="J100" s="55" t="str">
        <f t="shared" ca="1" si="20"/>
        <v/>
      </c>
      <c r="K100" s="55"/>
      <c r="L100" s="55" t="str">
        <f t="shared" ca="1" si="10"/>
        <v/>
      </c>
      <c r="M100" s="55">
        <f t="shared" ca="1" si="19"/>
        <v>35023893</v>
      </c>
      <c r="N100" s="55">
        <f t="shared" ca="1" si="11"/>
        <v>35023893</v>
      </c>
    </row>
    <row r="101" spans="1:14" x14ac:dyDescent="0.2">
      <c r="A101" s="105">
        <v>100</v>
      </c>
      <c r="B101" s="105" t="str">
        <f>VLOOKUP( $A101, Aop!$A$2:$P$453, 2, 0)</f>
        <v>BSp</v>
      </c>
      <c r="C101" s="105">
        <v>26</v>
      </c>
      <c r="D101" s="105" t="str">
        <f t="shared" si="12"/>
        <v>01814788</v>
      </c>
      <c r="E101" s="105" t="str">
        <f t="shared" si="13"/>
        <v>4400570050004</v>
      </c>
      <c r="F101" s="105" t="b">
        <f t="shared" si="14"/>
        <v>0</v>
      </c>
      <c r="G101" s="139">
        <f t="shared" si="15"/>
        <v>45565</v>
      </c>
      <c r="H101" s="105">
        <f>VLOOKUP( $A101, Aop!$A$2:$P$453, 4, 0)</f>
        <v>133</v>
      </c>
      <c r="I101" s="105">
        <f t="shared" si="16"/>
        <v>2024</v>
      </c>
      <c r="J101" s="55" t="str">
        <f t="shared" ca="1" si="20"/>
        <v/>
      </c>
      <c r="K101" s="55"/>
      <c r="L101" s="55" t="str">
        <f t="shared" ca="1" si="10"/>
        <v/>
      </c>
      <c r="M101" s="55">
        <f t="shared" ca="1" si="19"/>
        <v>734779</v>
      </c>
      <c r="N101" s="55">
        <f t="shared" ca="1" si="11"/>
        <v>734779</v>
      </c>
    </row>
    <row r="102" spans="1:14" x14ac:dyDescent="0.2">
      <c r="A102" s="105">
        <v>101</v>
      </c>
      <c r="B102" s="105" t="str">
        <f>VLOOKUP( $A102, Aop!$A$2:$P$453, 2, 0)</f>
        <v>BSp</v>
      </c>
      <c r="C102" s="105">
        <v>26</v>
      </c>
      <c r="D102" s="105" t="str">
        <f t="shared" si="12"/>
        <v>01814788</v>
      </c>
      <c r="E102" s="105" t="str">
        <f t="shared" si="13"/>
        <v>4400570050004</v>
      </c>
      <c r="F102" s="105" t="b">
        <f t="shared" si="14"/>
        <v>0</v>
      </c>
      <c r="G102" s="139">
        <f t="shared" si="15"/>
        <v>45565</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0</v>
      </c>
      <c r="G103" s="139">
        <f t="shared" si="15"/>
        <v>45565</v>
      </c>
      <c r="H103" s="105">
        <f>VLOOKUP( $A103, Aop!$A$2:$P$453, 4, 0)</f>
        <v>135</v>
      </c>
      <c r="I103" s="105">
        <f t="shared" si="16"/>
        <v>2024</v>
      </c>
      <c r="J103" s="55" t="str">
        <f t="shared" ca="1" si="20"/>
        <v/>
      </c>
      <c r="K103" s="55"/>
      <c r="L103" s="55" t="str">
        <f t="shared" ca="1" si="10"/>
        <v/>
      </c>
      <c r="M103" s="55">
        <f t="shared" ca="1" si="19"/>
        <v>678939</v>
      </c>
      <c r="N103" s="55">
        <f t="shared" ca="1" si="11"/>
        <v>678939</v>
      </c>
    </row>
    <row r="104" spans="1:14" x14ac:dyDescent="0.2">
      <c r="A104" s="105">
        <v>103</v>
      </c>
      <c r="B104" s="105" t="str">
        <f>VLOOKUP( $A104, Aop!$A$2:$P$453, 2, 0)</f>
        <v>BSp</v>
      </c>
      <c r="C104" s="105">
        <v>26</v>
      </c>
      <c r="D104" s="105" t="str">
        <f t="shared" si="12"/>
        <v>01814788</v>
      </c>
      <c r="E104" s="105" t="str">
        <f t="shared" si="13"/>
        <v>4400570050004</v>
      </c>
      <c r="F104" s="105" t="b">
        <f t="shared" si="14"/>
        <v>0</v>
      </c>
      <c r="G104" s="139">
        <f t="shared" si="15"/>
        <v>45565</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0</v>
      </c>
      <c r="G105" s="139">
        <f t="shared" si="15"/>
        <v>45565</v>
      </c>
      <c r="H105" s="105">
        <f>VLOOKUP( $A105, Aop!$A$2:$P$453, 4, 0)</f>
        <v>137</v>
      </c>
      <c r="I105" s="105">
        <f t="shared" si="16"/>
        <v>2024</v>
      </c>
      <c r="J105" s="55" t="str">
        <f t="shared" ca="1" si="20"/>
        <v/>
      </c>
      <c r="K105" s="55"/>
      <c r="L105" s="55" t="str">
        <f t="shared" ca="1" si="10"/>
        <v/>
      </c>
      <c r="M105" s="55">
        <f t="shared" ca="1" si="19"/>
        <v>21181040</v>
      </c>
      <c r="N105" s="55">
        <f t="shared" ca="1" si="11"/>
        <v>21181040</v>
      </c>
    </row>
    <row r="106" spans="1:14" x14ac:dyDescent="0.2">
      <c r="A106" s="105">
        <v>105</v>
      </c>
      <c r="B106" s="105" t="str">
        <f>VLOOKUP( $A106, Aop!$A$2:$P$453, 2, 0)</f>
        <v>BSp</v>
      </c>
      <c r="C106" s="105">
        <v>26</v>
      </c>
      <c r="D106" s="105" t="str">
        <f t="shared" si="12"/>
        <v>01814788</v>
      </c>
      <c r="E106" s="105" t="str">
        <f t="shared" si="13"/>
        <v>4400570050004</v>
      </c>
      <c r="F106" s="105" t="b">
        <f t="shared" si="14"/>
        <v>0</v>
      </c>
      <c r="G106" s="139">
        <f t="shared" si="15"/>
        <v>45565</v>
      </c>
      <c r="H106" s="105">
        <f>VLOOKUP( $A106, Aop!$A$2:$P$453, 4, 0)</f>
        <v>138</v>
      </c>
      <c r="I106" s="105">
        <f t="shared" si="16"/>
        <v>2024</v>
      </c>
      <c r="J106" s="55" t="str">
        <f t="shared" ca="1" si="20"/>
        <v/>
      </c>
      <c r="K106" s="55"/>
      <c r="L106" s="55" t="str">
        <f t="shared" ca="1" si="10"/>
        <v/>
      </c>
      <c r="M106" s="55">
        <f t="shared" ca="1" si="19"/>
        <v>13648497</v>
      </c>
      <c r="N106" s="55">
        <f t="shared" ca="1" si="11"/>
        <v>13648497</v>
      </c>
    </row>
    <row r="107" spans="1:14" x14ac:dyDescent="0.2">
      <c r="A107" s="105">
        <v>106</v>
      </c>
      <c r="B107" s="105" t="str">
        <f>VLOOKUP( $A107, Aop!$A$2:$P$453, 2, 0)</f>
        <v>BSp</v>
      </c>
      <c r="C107" s="105">
        <v>26</v>
      </c>
      <c r="D107" s="105" t="str">
        <f t="shared" si="12"/>
        <v>01814788</v>
      </c>
      <c r="E107" s="105" t="str">
        <f t="shared" si="13"/>
        <v>4400570050004</v>
      </c>
      <c r="F107" s="105" t="b">
        <f t="shared" si="14"/>
        <v>0</v>
      </c>
      <c r="G107" s="139">
        <f t="shared" si="15"/>
        <v>45565</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01814788</v>
      </c>
      <c r="E108" s="105" t="str">
        <f t="shared" si="13"/>
        <v>4400570050004</v>
      </c>
      <c r="F108" s="105" t="b">
        <f t="shared" si="14"/>
        <v>0</v>
      </c>
      <c r="G108" s="139">
        <f t="shared" si="15"/>
        <v>45565</v>
      </c>
      <c r="H108" s="105">
        <f>VLOOKUP( $A108, Aop!$A$2:$P$453, 4, 0)</f>
        <v>140</v>
      </c>
      <c r="I108" s="105">
        <f t="shared" si="16"/>
        <v>2024</v>
      </c>
      <c r="J108" s="55" t="str">
        <f t="shared" ca="1" si="20"/>
        <v/>
      </c>
      <c r="K108" s="55"/>
      <c r="L108" s="55" t="str">
        <f t="shared" ca="1" si="10"/>
        <v/>
      </c>
      <c r="M108" s="55">
        <f t="shared" ca="1" si="19"/>
        <v>3603784</v>
      </c>
      <c r="N108" s="55">
        <f t="shared" ca="1" si="11"/>
        <v>3603784</v>
      </c>
    </row>
    <row r="109" spans="1:14" x14ac:dyDescent="0.2">
      <c r="A109" s="105">
        <v>108</v>
      </c>
      <c r="B109" s="105" t="str">
        <f>VLOOKUP( $A109, Aop!$A$2:$P$453, 2, 0)</f>
        <v>BSp</v>
      </c>
      <c r="C109" s="105">
        <v>26</v>
      </c>
      <c r="D109" s="105" t="str">
        <f t="shared" si="12"/>
        <v>01814788</v>
      </c>
      <c r="E109" s="105" t="str">
        <f t="shared" si="13"/>
        <v>4400570050004</v>
      </c>
      <c r="F109" s="105" t="b">
        <f t="shared" si="14"/>
        <v>0</v>
      </c>
      <c r="G109" s="139">
        <f t="shared" si="15"/>
        <v>45565</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0</v>
      </c>
      <c r="G110" s="139">
        <f t="shared" si="15"/>
        <v>45565</v>
      </c>
      <c r="H110" s="105">
        <f>VLOOKUP( $A110, Aop!$A$2:$P$453, 4, 0)</f>
        <v>142</v>
      </c>
      <c r="I110" s="105">
        <f t="shared" si="16"/>
        <v>2024</v>
      </c>
      <c r="J110" s="55" t="str">
        <f t="shared" ca="1" si="20"/>
        <v/>
      </c>
      <c r="K110" s="55"/>
      <c r="L110" s="55" t="str">
        <f t="shared" ca="1" si="10"/>
        <v/>
      </c>
      <c r="M110" s="55">
        <f t="shared" ca="1" si="19"/>
        <v>147721</v>
      </c>
      <c r="N110" s="55">
        <f t="shared" ca="1" si="11"/>
        <v>147721</v>
      </c>
    </row>
    <row r="111" spans="1:14" x14ac:dyDescent="0.2">
      <c r="A111" s="105">
        <v>110</v>
      </c>
      <c r="B111" s="105" t="str">
        <f>VLOOKUP( $A111, Aop!$A$2:$P$453, 2, 0)</f>
        <v>BSp</v>
      </c>
      <c r="C111" s="105">
        <v>26</v>
      </c>
      <c r="D111" s="105" t="str">
        <f t="shared" si="12"/>
        <v>01814788</v>
      </c>
      <c r="E111" s="105" t="str">
        <f t="shared" si="13"/>
        <v>4400570050004</v>
      </c>
      <c r="F111" s="105" t="b">
        <f t="shared" si="14"/>
        <v>0</v>
      </c>
      <c r="G111" s="139">
        <f t="shared" si="15"/>
        <v>45565</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0</v>
      </c>
      <c r="G112" s="139">
        <f t="shared" si="15"/>
        <v>45565</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0</v>
      </c>
      <c r="G113" s="139">
        <f t="shared" si="15"/>
        <v>45565</v>
      </c>
      <c r="H113" s="105">
        <f>VLOOKUP( $A113, Aop!$A$2:$P$453, 4, 0)</f>
        <v>145</v>
      </c>
      <c r="I113" s="105">
        <f t="shared" si="16"/>
        <v>2024</v>
      </c>
      <c r="J113" s="55" t="str">
        <f t="shared" ca="1" si="20"/>
        <v/>
      </c>
      <c r="K113" s="55"/>
      <c r="L113" s="55" t="str">
        <f t="shared" ca="1" si="10"/>
        <v/>
      </c>
      <c r="M113" s="55">
        <f t="shared" ca="1" si="19"/>
        <v>13108074</v>
      </c>
      <c r="N113" s="55">
        <f t="shared" ca="1" si="11"/>
        <v>13108074</v>
      </c>
    </row>
    <row r="114" spans="1:14" x14ac:dyDescent="0.2">
      <c r="A114" s="105">
        <v>113</v>
      </c>
      <c r="B114" s="105" t="str">
        <f>VLOOKUP( $A114, Aop!$A$2:$P$453, 2, 0)</f>
        <v>BSp</v>
      </c>
      <c r="C114" s="105">
        <v>26</v>
      </c>
      <c r="D114" s="105" t="str">
        <f t="shared" si="12"/>
        <v>01814788</v>
      </c>
      <c r="E114" s="105" t="str">
        <f t="shared" si="13"/>
        <v>4400570050004</v>
      </c>
      <c r="F114" s="105" t="b">
        <f t="shared" si="14"/>
        <v>0</v>
      </c>
      <c r="G114" s="139">
        <f t="shared" si="15"/>
        <v>45565</v>
      </c>
      <c r="H114" s="105">
        <f>VLOOKUP( $A114, Aop!$A$2:$P$453, 4, 0)</f>
        <v>146</v>
      </c>
      <c r="I114" s="105">
        <f t="shared" si="16"/>
        <v>2024</v>
      </c>
      <c r="J114" s="55" t="str">
        <f t="shared" ca="1" si="20"/>
        <v/>
      </c>
      <c r="K114" s="55"/>
      <c r="L114" s="55" t="str">
        <f t="shared" ca="1" si="10"/>
        <v/>
      </c>
      <c r="M114" s="55">
        <f t="shared" ca="1" si="19"/>
        <v>5142892</v>
      </c>
      <c r="N114" s="55">
        <f t="shared" ca="1" si="11"/>
        <v>5142892</v>
      </c>
    </row>
    <row r="115" spans="1:14" x14ac:dyDescent="0.2">
      <c r="A115" s="105">
        <v>114</v>
      </c>
      <c r="B115" s="105" t="str">
        <f>VLOOKUP( $A115, Aop!$A$2:$P$453, 2, 0)</f>
        <v>BSp</v>
      </c>
      <c r="C115" s="105">
        <v>26</v>
      </c>
      <c r="D115" s="105" t="str">
        <f t="shared" si="12"/>
        <v>01814788</v>
      </c>
      <c r="E115" s="105" t="str">
        <f t="shared" si="13"/>
        <v>4400570050004</v>
      </c>
      <c r="F115" s="105" t="b">
        <f t="shared" si="14"/>
        <v>0</v>
      </c>
      <c r="G115" s="139">
        <f t="shared" si="15"/>
        <v>45565</v>
      </c>
      <c r="H115" s="105">
        <f>VLOOKUP( $A115, Aop!$A$2:$P$453, 4, 0)</f>
        <v>147</v>
      </c>
      <c r="I115" s="105">
        <f t="shared" si="16"/>
        <v>2024</v>
      </c>
      <c r="J115" s="55" t="str">
        <f t="shared" ca="1" si="20"/>
        <v/>
      </c>
      <c r="K115" s="55"/>
      <c r="L115" s="55" t="str">
        <f t="shared" ca="1" si="10"/>
        <v/>
      </c>
      <c r="M115" s="55">
        <f t="shared" ca="1" si="19"/>
        <v>8712294</v>
      </c>
      <c r="N115" s="55">
        <f t="shared" ca="1" si="11"/>
        <v>8712294</v>
      </c>
    </row>
    <row r="116" spans="1:14" x14ac:dyDescent="0.2">
      <c r="A116" s="105">
        <v>115</v>
      </c>
      <c r="B116" s="105" t="str">
        <f>VLOOKUP( $A116, Aop!$A$2:$P$453, 2, 0)</f>
        <v>BSp</v>
      </c>
      <c r="C116" s="105">
        <v>26</v>
      </c>
      <c r="D116" s="105" t="str">
        <f t="shared" si="12"/>
        <v>01814788</v>
      </c>
      <c r="E116" s="105" t="str">
        <f t="shared" si="13"/>
        <v>4400570050004</v>
      </c>
      <c r="F116" s="105" t="b">
        <f t="shared" si="14"/>
        <v>0</v>
      </c>
      <c r="G116" s="139">
        <f t="shared" si="15"/>
        <v>45565</v>
      </c>
      <c r="H116" s="105">
        <f>VLOOKUP( $A116, Aop!$A$2:$P$453, 4, 0)</f>
        <v>148</v>
      </c>
      <c r="I116" s="105">
        <f t="shared" si="16"/>
        <v>2024</v>
      </c>
      <c r="J116" s="55" t="str">
        <f t="shared" ca="1" si="20"/>
        <v/>
      </c>
      <c r="K116" s="55"/>
      <c r="L116" s="55" t="str">
        <f t="shared" ca="1" si="10"/>
        <v/>
      </c>
      <c r="M116" s="55">
        <f t="shared" ca="1" si="19"/>
        <v>1370274</v>
      </c>
      <c r="N116" s="55">
        <f t="shared" ca="1" si="11"/>
        <v>1370274</v>
      </c>
    </row>
    <row r="117" spans="1:14" x14ac:dyDescent="0.2">
      <c r="A117" s="105">
        <v>116</v>
      </c>
      <c r="B117" s="105" t="str">
        <f>VLOOKUP( $A117, Aop!$A$2:$P$453, 2, 0)</f>
        <v>BSp</v>
      </c>
      <c r="C117" s="105">
        <v>26</v>
      </c>
      <c r="D117" s="105" t="str">
        <f t="shared" si="12"/>
        <v>01814788</v>
      </c>
      <c r="E117" s="105" t="str">
        <f t="shared" si="13"/>
        <v>4400570050004</v>
      </c>
      <c r="F117" s="105" t="b">
        <f t="shared" si="14"/>
        <v>0</v>
      </c>
      <c r="G117" s="139">
        <f t="shared" si="15"/>
        <v>45565</v>
      </c>
      <c r="H117" s="105">
        <f>VLOOKUP( $A117, Aop!$A$2:$P$453, 4, 0)</f>
        <v>149</v>
      </c>
      <c r="I117" s="105">
        <f t="shared" si="16"/>
        <v>2024</v>
      </c>
      <c r="J117" s="55" t="str">
        <f t="shared" ca="1" si="20"/>
        <v/>
      </c>
      <c r="K117" s="55"/>
      <c r="L117" s="55" t="str">
        <f t="shared" ca="1" si="10"/>
        <v/>
      </c>
      <c r="M117" s="55">
        <f t="shared" ca="1" si="19"/>
        <v>352934</v>
      </c>
      <c r="N117" s="55">
        <f t="shared" ca="1" si="11"/>
        <v>352934</v>
      </c>
    </row>
    <row r="118" spans="1:14" x14ac:dyDescent="0.2">
      <c r="A118" s="105">
        <v>117</v>
      </c>
      <c r="B118" s="105" t="str">
        <f>VLOOKUP( $A118, Aop!$A$2:$P$453, 2, 0)</f>
        <v>BSp</v>
      </c>
      <c r="C118" s="105">
        <v>26</v>
      </c>
      <c r="D118" s="105" t="str">
        <f t="shared" si="12"/>
        <v>01814788</v>
      </c>
      <c r="E118" s="105" t="str">
        <f t="shared" si="13"/>
        <v>4400570050004</v>
      </c>
      <c r="F118" s="105" t="b">
        <f t="shared" si="14"/>
        <v>0</v>
      </c>
      <c r="G118" s="139">
        <f t="shared" si="15"/>
        <v>45565</v>
      </c>
      <c r="H118" s="105">
        <f>VLOOKUP( $A118, Aop!$A$2:$P$453, 4, 0)</f>
        <v>150</v>
      </c>
      <c r="I118" s="105">
        <f t="shared" si="16"/>
        <v>2024</v>
      </c>
      <c r="J118" s="55" t="str">
        <f t="shared" ca="1" si="20"/>
        <v/>
      </c>
      <c r="K118" s="55"/>
      <c r="L118" s="55" t="str">
        <f t="shared" ca="1" si="10"/>
        <v/>
      </c>
      <c r="M118" s="55">
        <f t="shared" ca="1" si="19"/>
        <v>1008265</v>
      </c>
      <c r="N118" s="55">
        <f t="shared" ca="1" si="11"/>
        <v>1008265</v>
      </c>
    </row>
    <row r="119" spans="1:14" x14ac:dyDescent="0.2">
      <c r="A119" s="105">
        <v>118</v>
      </c>
      <c r="B119" s="105" t="str">
        <f>VLOOKUP( $A119, Aop!$A$2:$P$453, 2, 0)</f>
        <v>BSp</v>
      </c>
      <c r="C119" s="105">
        <v>26</v>
      </c>
      <c r="D119" s="105" t="str">
        <f t="shared" si="12"/>
        <v>01814788</v>
      </c>
      <c r="E119" s="105" t="str">
        <f t="shared" si="13"/>
        <v>4400570050004</v>
      </c>
      <c r="F119" s="105" t="b">
        <f t="shared" si="14"/>
        <v>0</v>
      </c>
      <c r="G119" s="139">
        <f t="shared" si="15"/>
        <v>45565</v>
      </c>
      <c r="H119" s="105">
        <f>VLOOKUP( $A119, Aop!$A$2:$P$453, 4, 0)</f>
        <v>151</v>
      </c>
      <c r="I119" s="105">
        <f t="shared" si="16"/>
        <v>2024</v>
      </c>
      <c r="J119" s="55" t="str">
        <f t="shared" ca="1" si="20"/>
        <v/>
      </c>
      <c r="K119" s="55"/>
      <c r="L119" s="55" t="str">
        <f t="shared" ca="1" si="10"/>
        <v/>
      </c>
      <c r="M119" s="55">
        <f t="shared" ca="1" si="19"/>
        <v>9075</v>
      </c>
      <c r="N119" s="55">
        <f t="shared" ca="1" si="11"/>
        <v>9075</v>
      </c>
    </row>
    <row r="120" spans="1:14" x14ac:dyDescent="0.2">
      <c r="A120" s="105">
        <v>119</v>
      </c>
      <c r="B120" s="105" t="str">
        <f>VLOOKUP( $A120, Aop!$A$2:$P$453, 2, 0)</f>
        <v>BSp</v>
      </c>
      <c r="C120" s="105">
        <v>26</v>
      </c>
      <c r="D120" s="105" t="str">
        <f t="shared" si="12"/>
        <v>01814788</v>
      </c>
      <c r="E120" s="105" t="str">
        <f t="shared" si="13"/>
        <v>4400570050004</v>
      </c>
      <c r="F120" s="105" t="b">
        <f t="shared" si="14"/>
        <v>0</v>
      </c>
      <c r="G120" s="139">
        <f t="shared" si="15"/>
        <v>45565</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0</v>
      </c>
      <c r="G121" s="139">
        <f t="shared" si="15"/>
        <v>45565</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0</v>
      </c>
      <c r="G122" s="139">
        <f t="shared" si="15"/>
        <v>45565</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0</v>
      </c>
      <c r="G123" s="139">
        <f t="shared" si="15"/>
        <v>45565</v>
      </c>
      <c r="H123" s="105">
        <f>VLOOKUP( $A123, Aop!$A$2:$P$453, 4, 0)</f>
        <v>155</v>
      </c>
      <c r="I123" s="105">
        <f t="shared" si="16"/>
        <v>2024</v>
      </c>
      <c r="J123" s="55" t="str">
        <f t="shared" ca="1" si="20"/>
        <v/>
      </c>
      <c r="K123" s="55"/>
      <c r="L123" s="55" t="str">
        <f t="shared" ca="1" si="10"/>
        <v/>
      </c>
      <c r="M123" s="55">
        <f t="shared" ca="1" si="19"/>
        <v>4770960</v>
      </c>
      <c r="N123" s="55">
        <f t="shared" ca="1" si="11"/>
        <v>4770960</v>
      </c>
    </row>
    <row r="124" spans="1:14" x14ac:dyDescent="0.2">
      <c r="A124" s="105">
        <v>123</v>
      </c>
      <c r="B124" s="105" t="str">
        <f>VLOOKUP( $A124, Aop!$A$2:$P$453, 2, 0)</f>
        <v>BSp</v>
      </c>
      <c r="C124" s="105">
        <v>26</v>
      </c>
      <c r="D124" s="105" t="str">
        <f t="shared" si="12"/>
        <v>01814788</v>
      </c>
      <c r="E124" s="105" t="str">
        <f t="shared" si="13"/>
        <v>4400570050004</v>
      </c>
      <c r="F124" s="105" t="b">
        <f t="shared" si="14"/>
        <v>0</v>
      </c>
      <c r="G124" s="139">
        <f t="shared" si="15"/>
        <v>45565</v>
      </c>
      <c r="H124" s="105">
        <f>VLOOKUP( $A124, Aop!$A$2:$P$453, 4, 0)</f>
        <v>156</v>
      </c>
      <c r="I124" s="105">
        <f t="shared" si="16"/>
        <v>2024</v>
      </c>
      <c r="J124" s="55" t="str">
        <f t="shared" ca="1" si="20"/>
        <v/>
      </c>
      <c r="K124" s="55"/>
      <c r="L124" s="55" t="str">
        <f t="shared" ca="1" si="10"/>
        <v/>
      </c>
      <c r="M124" s="55">
        <f t="shared" ca="1" si="19"/>
        <v>423060</v>
      </c>
      <c r="N124" s="55">
        <f t="shared" ca="1" si="11"/>
        <v>423060</v>
      </c>
    </row>
    <row r="125" spans="1:14" x14ac:dyDescent="0.2">
      <c r="A125" s="105">
        <v>124</v>
      </c>
      <c r="B125" s="105" t="str">
        <f>VLOOKUP( $A125, Aop!$A$2:$P$453, 2, 0)</f>
        <v>BSp</v>
      </c>
      <c r="C125" s="105">
        <v>26</v>
      </c>
      <c r="D125" s="105" t="str">
        <f t="shared" si="12"/>
        <v>01814788</v>
      </c>
      <c r="E125" s="105" t="str">
        <f t="shared" si="13"/>
        <v>4400570050004</v>
      </c>
      <c r="F125" s="105" t="b">
        <f t="shared" si="14"/>
        <v>0</v>
      </c>
      <c r="G125" s="139">
        <f t="shared" si="15"/>
        <v>45565</v>
      </c>
      <c r="H125" s="105">
        <f>VLOOKUP( $A125, Aop!$A$2:$P$453, 4, 0)</f>
        <v>157</v>
      </c>
      <c r="I125" s="105">
        <f t="shared" si="16"/>
        <v>2024</v>
      </c>
      <c r="J125" s="55" t="str">
        <f t="shared" ca="1" si="20"/>
        <v/>
      </c>
      <c r="K125" s="55"/>
      <c r="L125" s="55" t="str">
        <f t="shared" ca="1" si="10"/>
        <v/>
      </c>
      <c r="M125" s="55">
        <f t="shared" ca="1" si="19"/>
        <v>2673844</v>
      </c>
      <c r="N125" s="55">
        <f t="shared" ca="1" si="11"/>
        <v>2673844</v>
      </c>
    </row>
    <row r="126" spans="1:14" x14ac:dyDescent="0.2">
      <c r="A126" s="105">
        <v>125</v>
      </c>
      <c r="B126" s="105" t="str">
        <f>VLOOKUP( $A126, Aop!$A$2:$P$453, 2, 0)</f>
        <v>BSp</v>
      </c>
      <c r="C126" s="105">
        <v>26</v>
      </c>
      <c r="D126" s="105" t="str">
        <f t="shared" si="12"/>
        <v>01814788</v>
      </c>
      <c r="E126" s="105" t="str">
        <f t="shared" si="13"/>
        <v>4400570050004</v>
      </c>
      <c r="F126" s="105" t="b">
        <f t="shared" si="14"/>
        <v>0</v>
      </c>
      <c r="G126" s="139">
        <f t="shared" si="15"/>
        <v>45565</v>
      </c>
      <c r="H126" s="105">
        <f>VLOOKUP( $A126, Aop!$A$2:$P$453, 4, 0)</f>
        <v>158</v>
      </c>
      <c r="I126" s="105">
        <f t="shared" si="16"/>
        <v>2024</v>
      </c>
      <c r="J126" s="55" t="str">
        <f t="shared" ca="1" si="20"/>
        <v/>
      </c>
      <c r="K126" s="55"/>
      <c r="L126" s="55" t="str">
        <f t="shared" ca="1" si="10"/>
        <v/>
      </c>
      <c r="M126" s="55">
        <f t="shared" ca="1" si="19"/>
        <v>1651233</v>
      </c>
      <c r="N126" s="55">
        <f t="shared" ca="1" si="11"/>
        <v>1651233</v>
      </c>
    </row>
    <row r="127" spans="1:14" x14ac:dyDescent="0.2">
      <c r="A127" s="105">
        <v>126</v>
      </c>
      <c r="B127" s="105" t="str">
        <f>VLOOKUP( $A127, Aop!$A$2:$P$453, 2, 0)</f>
        <v>BSp</v>
      </c>
      <c r="C127" s="105">
        <v>26</v>
      </c>
      <c r="D127" s="105" t="str">
        <f t="shared" si="12"/>
        <v>01814788</v>
      </c>
      <c r="E127" s="105" t="str">
        <f t="shared" si="13"/>
        <v>4400570050004</v>
      </c>
      <c r="F127" s="105" t="b">
        <f t="shared" si="14"/>
        <v>0</v>
      </c>
      <c r="G127" s="139">
        <f t="shared" si="15"/>
        <v>45565</v>
      </c>
      <c r="H127" s="105">
        <f>VLOOKUP( $A127, Aop!$A$2:$P$453, 4, 0)</f>
        <v>159</v>
      </c>
      <c r="I127" s="105">
        <f t="shared" si="16"/>
        <v>2024</v>
      </c>
      <c r="J127" s="55" t="str">
        <f t="shared" ca="1" si="20"/>
        <v/>
      </c>
      <c r="K127" s="55"/>
      <c r="L127" s="55" t="str">
        <f t="shared" ca="1" si="10"/>
        <v/>
      </c>
      <c r="M127" s="55">
        <f t="shared" ca="1" si="19"/>
        <v>22823</v>
      </c>
      <c r="N127" s="55">
        <f t="shared" ca="1" si="11"/>
        <v>22823</v>
      </c>
    </row>
    <row r="128" spans="1:14" x14ac:dyDescent="0.2">
      <c r="A128" s="105">
        <v>127</v>
      </c>
      <c r="B128" s="105" t="str">
        <f>VLOOKUP( $A128, Aop!$A$2:$P$453, 2, 0)</f>
        <v>BSp</v>
      </c>
      <c r="C128" s="105">
        <v>26</v>
      </c>
      <c r="D128" s="105" t="str">
        <f t="shared" si="12"/>
        <v>01814788</v>
      </c>
      <c r="E128" s="105" t="str">
        <f t="shared" si="13"/>
        <v>4400570050004</v>
      </c>
      <c r="F128" s="105" t="b">
        <f t="shared" si="14"/>
        <v>0</v>
      </c>
      <c r="G128" s="139">
        <f t="shared" si="15"/>
        <v>45565</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0</v>
      </c>
      <c r="G129" s="139">
        <f t="shared" si="15"/>
        <v>45565</v>
      </c>
      <c r="H129" s="105">
        <f>VLOOKUP( $A129, Aop!$A$2:$P$453, 4, 0)</f>
        <v>161</v>
      </c>
      <c r="I129" s="105">
        <f t="shared" si="16"/>
        <v>2024</v>
      </c>
      <c r="J129" s="55" t="str">
        <f t="shared" ca="1" si="20"/>
        <v/>
      </c>
      <c r="K129" s="55"/>
      <c r="L129" s="55" t="str">
        <f t="shared" ca="1" si="10"/>
        <v/>
      </c>
      <c r="M129" s="55">
        <f t="shared" ca="1" si="19"/>
        <v>425605</v>
      </c>
      <c r="N129" s="55">
        <f t="shared" ca="1" si="11"/>
        <v>425605</v>
      </c>
    </row>
    <row r="130" spans="1:14" x14ac:dyDescent="0.2">
      <c r="A130" s="105">
        <v>129</v>
      </c>
      <c r="B130" s="55" t="str">
        <f>VLOOKUP( $A130, Aop!$A$2:$P$453, 2, 0)</f>
        <v>BSp</v>
      </c>
      <c r="C130" s="105">
        <v>26</v>
      </c>
      <c r="D130" s="55" t="str">
        <f>Podatak_MB</f>
        <v>01814788</v>
      </c>
      <c r="E130" s="55" t="str">
        <f>Podatak_JIB</f>
        <v>4400570050004</v>
      </c>
      <c r="F130" s="55" t="b">
        <f>Konsolidovan_izvjestaj</f>
        <v>0</v>
      </c>
      <c r="G130" s="139">
        <f>Datum_Broj</f>
        <v>45565</v>
      </c>
      <c r="H130" s="55">
        <f>VLOOKUP( $A130, Aop!$A$2:$P$453, 4, 0)</f>
        <v>162</v>
      </c>
      <c r="I130" s="55">
        <f>Godina</f>
        <v>2024</v>
      </c>
      <c r="J130" s="55" t="str">
        <f t="shared" ca="1" si="20"/>
        <v/>
      </c>
      <c r="K130" s="55"/>
      <c r="L130" s="55" t="str">
        <f t="shared" ca="1" si="10"/>
        <v/>
      </c>
      <c r="M130" s="55">
        <f t="shared" ca="1" si="19"/>
        <v>1064692</v>
      </c>
      <c r="N130" s="55">
        <f t="shared" ref="N130:N193" ca="1" si="21">IF( VLOOKUP( $H130, INDIRECT( "Lookup_" &amp; $B130), IF( LEFT( $B130, 2) = "BS", S$2, S$1), 0) = "", "", VLOOKUP( $H130, INDIRECT( "Lookup_" &amp; $B130), IF( LEFT( $B130, 2) = "BS", S$2, S$1), 0))</f>
        <v>1064692</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0</v>
      </c>
      <c r="G131" s="139">
        <f t="shared" si="15"/>
        <v>45565</v>
      </c>
      <c r="H131" s="105">
        <f>VLOOKUP( $A131, Aop!$A$2:$P$453, 4, 0)</f>
        <v>163</v>
      </c>
      <c r="I131" s="55">
        <f t="shared" ref="I131:I190" si="24">Godina</f>
        <v>2024</v>
      </c>
      <c r="J131" s="55" t="str">
        <f t="shared" ca="1" si="20"/>
        <v/>
      </c>
      <c r="K131" s="55"/>
      <c r="L131" s="55" t="str">
        <f t="shared" ca="1" si="10"/>
        <v/>
      </c>
      <c r="M131" s="55">
        <f t="shared" ca="1" si="19"/>
        <v>19525</v>
      </c>
      <c r="N131" s="55">
        <f t="shared" ca="1" si="21"/>
        <v>19525</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0</v>
      </c>
      <c r="G132" s="139">
        <f t="shared" ref="G132:G191" si="26">Datum_Broj</f>
        <v>45565</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88204</v>
      </c>
      <c r="N132" s="55">
        <f t="shared" ca="1" si="21"/>
        <v>88204</v>
      </c>
    </row>
    <row r="133" spans="1:14" x14ac:dyDescent="0.2">
      <c r="A133" s="105">
        <v>132</v>
      </c>
      <c r="B133" s="105" t="str">
        <f>VLOOKUP( $A133, Aop!$A$2:$P$453, 2, 0)</f>
        <v>BSp</v>
      </c>
      <c r="C133" s="105">
        <v>26</v>
      </c>
      <c r="D133" s="55" t="str">
        <f t="shared" si="22"/>
        <v>01814788</v>
      </c>
      <c r="E133" s="55" t="str">
        <f t="shared" si="23"/>
        <v>4400570050004</v>
      </c>
      <c r="F133" s="55" t="b">
        <f t="shared" si="25"/>
        <v>0</v>
      </c>
      <c r="G133" s="139">
        <f t="shared" si="26"/>
        <v>45565</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14792</v>
      </c>
      <c r="N133" s="55">
        <f t="shared" ca="1" si="21"/>
        <v>14792</v>
      </c>
    </row>
    <row r="134" spans="1:14" x14ac:dyDescent="0.2">
      <c r="A134" s="105">
        <v>133</v>
      </c>
      <c r="B134" s="105" t="str">
        <f>VLOOKUP( $A134, Aop!$A$2:$P$453, 2, 0)</f>
        <v>BSp</v>
      </c>
      <c r="C134" s="105">
        <v>26</v>
      </c>
      <c r="D134" s="55" t="str">
        <f t="shared" si="22"/>
        <v>01814788</v>
      </c>
      <c r="E134" s="55" t="str">
        <f t="shared" si="23"/>
        <v>4400570050004</v>
      </c>
      <c r="F134" s="55" t="b">
        <f t="shared" si="25"/>
        <v>0</v>
      </c>
      <c r="G134" s="139">
        <f t="shared" si="26"/>
        <v>45565</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0</v>
      </c>
      <c r="G135" s="139">
        <f t="shared" si="26"/>
        <v>45565</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958242</v>
      </c>
      <c r="N135" s="55">
        <f t="shared" ca="1" si="21"/>
        <v>958242</v>
      </c>
    </row>
    <row r="136" spans="1:14" x14ac:dyDescent="0.2">
      <c r="A136" s="105">
        <v>136</v>
      </c>
      <c r="B136" s="105" t="str">
        <f>VLOOKUP( $A136, Aop!$A$2:$P$453, 2, 0)</f>
        <v>BSp</v>
      </c>
      <c r="C136" s="105">
        <v>26</v>
      </c>
      <c r="D136" s="55" t="str">
        <f t="shared" si="22"/>
        <v>01814788</v>
      </c>
      <c r="E136" s="55" t="str">
        <f t="shared" si="23"/>
        <v>4400570050004</v>
      </c>
      <c r="F136" s="55" t="b">
        <f t="shared" si="25"/>
        <v>0</v>
      </c>
      <c r="G136" s="139">
        <f t="shared" si="26"/>
        <v>45565</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0</v>
      </c>
      <c r="G137" s="139">
        <f t="shared" si="26"/>
        <v>45565</v>
      </c>
      <c r="H137" s="105">
        <f>VLOOKUP( $A137, Aop!$A$2:$P$453, 4, 0)</f>
        <v>169</v>
      </c>
      <c r="I137" s="55">
        <f t="shared" si="24"/>
        <v>2024</v>
      </c>
      <c r="J137" s="55" t="str">
        <f t="shared" ca="1" si="28"/>
        <v/>
      </c>
      <c r="K137" s="55"/>
      <c r="L137" s="55"/>
      <c r="M137" s="55">
        <f t="shared" ca="1" si="27"/>
        <v>148560795</v>
      </c>
      <c r="N137" s="55">
        <f t="shared" ca="1" si="21"/>
        <v>148560795</v>
      </c>
    </row>
    <row r="138" spans="1:14" x14ac:dyDescent="0.2">
      <c r="A138" s="105">
        <v>138</v>
      </c>
      <c r="B138" s="105" t="str">
        <f>VLOOKUP( $A138, Aop!$A$2:$P$453, 2, 0)</f>
        <v>BSp</v>
      </c>
      <c r="C138" s="105">
        <v>27</v>
      </c>
      <c r="D138" s="55" t="str">
        <f t="shared" si="22"/>
        <v>01814788</v>
      </c>
      <c r="E138" s="55" t="str">
        <f t="shared" si="23"/>
        <v>4400570050004</v>
      </c>
      <c r="F138" s="55" t="b">
        <f t="shared" si="25"/>
        <v>0</v>
      </c>
      <c r="G138" s="139">
        <f t="shared" si="26"/>
        <v>45565</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28922698</v>
      </c>
      <c r="N138" s="55">
        <f t="shared" ca="1" si="21"/>
        <v>28922698</v>
      </c>
    </row>
    <row r="139" spans="1:14" x14ac:dyDescent="0.2">
      <c r="A139" s="105">
        <v>139</v>
      </c>
      <c r="B139" s="105" t="str">
        <f>VLOOKUP( $A139, Aop!$A$2:$P$453, 2, 0)</f>
        <v>BUa</v>
      </c>
      <c r="C139" s="55">
        <v>27</v>
      </c>
      <c r="D139" s="55" t="str">
        <f t="shared" si="22"/>
        <v>01814788</v>
      </c>
      <c r="E139" s="55" t="str">
        <f t="shared" si="23"/>
        <v>4400570050004</v>
      </c>
      <c r="F139" s="55" t="b">
        <f t="shared" si="25"/>
        <v>0</v>
      </c>
      <c r="G139" s="139">
        <f t="shared" si="26"/>
        <v>45565</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28977612</v>
      </c>
      <c r="N139" s="55">
        <f t="shared" ca="1" si="21"/>
        <v>28977612</v>
      </c>
    </row>
    <row r="140" spans="1:14" x14ac:dyDescent="0.2">
      <c r="A140" s="105">
        <v>140</v>
      </c>
      <c r="B140" s="105" t="str">
        <f>VLOOKUP( $A140, Aop!$A$2:$P$453, 2, 0)</f>
        <v>BUa</v>
      </c>
      <c r="C140" s="55">
        <v>27</v>
      </c>
      <c r="D140" s="55" t="str">
        <f t="shared" si="22"/>
        <v>01814788</v>
      </c>
      <c r="E140" s="55" t="str">
        <f t="shared" si="23"/>
        <v>4400570050004</v>
      </c>
      <c r="F140" s="55" t="b">
        <f t="shared" si="25"/>
        <v>0</v>
      </c>
      <c r="G140" s="139">
        <f t="shared" si="26"/>
        <v>45565</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12233</v>
      </c>
      <c r="N140" s="55">
        <f t="shared" ca="1" si="21"/>
        <v>12233</v>
      </c>
    </row>
    <row r="141" spans="1:14" x14ac:dyDescent="0.2">
      <c r="A141" s="105">
        <v>141</v>
      </c>
      <c r="B141" s="105" t="str">
        <f>VLOOKUP( $A141, Aop!$A$2:$P$453, 2, 0)</f>
        <v>BUa</v>
      </c>
      <c r="C141" s="55">
        <v>27</v>
      </c>
      <c r="D141" s="55" t="str">
        <f t="shared" si="22"/>
        <v>01814788</v>
      </c>
      <c r="E141" s="55" t="str">
        <f t="shared" si="23"/>
        <v>4400570050004</v>
      </c>
      <c r="F141" s="55" t="b">
        <f t="shared" si="25"/>
        <v>0</v>
      </c>
      <c r="G141" s="139">
        <f t="shared" si="26"/>
        <v>45565</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0</v>
      </c>
      <c r="G142" s="139">
        <f t="shared" si="26"/>
        <v>45565</v>
      </c>
      <c r="H142" s="105">
        <f>VLOOKUP( $A142, Aop!$A$2:$P$453, 4, 0)</f>
        <v>204</v>
      </c>
      <c r="I142" s="55">
        <f t="shared" si="24"/>
        <v>2024</v>
      </c>
      <c r="J142" s="55" t="str">
        <f t="shared" ca="1" si="30"/>
        <v/>
      </c>
      <c r="K142" s="55"/>
      <c r="L142" s="55"/>
      <c r="M142" s="55">
        <f t="shared" ca="1" si="29"/>
        <v>12233</v>
      </c>
      <c r="N142" s="55">
        <f t="shared" ca="1" si="21"/>
        <v>12233</v>
      </c>
    </row>
    <row r="143" spans="1:14" x14ac:dyDescent="0.2">
      <c r="A143" s="105">
        <v>143</v>
      </c>
      <c r="B143" s="105" t="str">
        <f>VLOOKUP( $A143, Aop!$A$2:$P$453, 2, 0)</f>
        <v>BUa</v>
      </c>
      <c r="C143" s="55">
        <v>27</v>
      </c>
      <c r="D143" s="55" t="str">
        <f t="shared" si="22"/>
        <v>01814788</v>
      </c>
      <c r="E143" s="55" t="str">
        <f t="shared" si="23"/>
        <v>4400570050004</v>
      </c>
      <c r="F143" s="55" t="b">
        <f t="shared" si="25"/>
        <v>0</v>
      </c>
      <c r="G143" s="139">
        <f t="shared" si="26"/>
        <v>45565</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0</v>
      </c>
      <c r="G144" s="139">
        <f t="shared" si="26"/>
        <v>45565</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01814788</v>
      </c>
      <c r="E145" s="55" t="str">
        <f t="shared" si="23"/>
        <v>4400570050004</v>
      </c>
      <c r="F145" s="55" t="b">
        <f t="shared" si="25"/>
        <v>0</v>
      </c>
      <c r="G145" s="139">
        <f t="shared" si="26"/>
        <v>45565</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01814788</v>
      </c>
      <c r="E146" s="55" t="str">
        <f t="shared" si="23"/>
        <v>4400570050004</v>
      </c>
      <c r="F146" s="55" t="b">
        <f t="shared" si="25"/>
        <v>0</v>
      </c>
      <c r="G146" s="139">
        <f t="shared" si="26"/>
        <v>45565</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0</v>
      </c>
      <c r="G147" s="139">
        <f t="shared" si="26"/>
        <v>45565</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0</v>
      </c>
      <c r="G148" s="139">
        <f t="shared" si="26"/>
        <v>45565</v>
      </c>
      <c r="H148" s="105">
        <f>VLOOKUP( $A148, Aop!$A$2:$P$453, 4, 0)</f>
        <v>210</v>
      </c>
      <c r="I148" s="55">
        <f t="shared" si="24"/>
        <v>2024</v>
      </c>
      <c r="J148" s="55" t="str">
        <f t="shared" ca="1" si="30"/>
        <v/>
      </c>
      <c r="K148" s="55"/>
      <c r="L148" s="55"/>
      <c r="M148" s="55">
        <f t="shared" ca="1" si="29"/>
        <v>24978663</v>
      </c>
      <c r="N148" s="55">
        <f t="shared" ca="1" si="21"/>
        <v>24978663</v>
      </c>
    </row>
    <row r="149" spans="1:14" x14ac:dyDescent="0.2">
      <c r="A149" s="105">
        <v>149</v>
      </c>
      <c r="B149" s="105" t="str">
        <f>VLOOKUP( $A149, Aop!$A$2:$P$453, 2, 0)</f>
        <v>BUa</v>
      </c>
      <c r="C149" s="55">
        <v>27</v>
      </c>
      <c r="D149" s="55" t="str">
        <f t="shared" si="22"/>
        <v>01814788</v>
      </c>
      <c r="E149" s="55" t="str">
        <f t="shared" si="23"/>
        <v>4400570050004</v>
      </c>
      <c r="F149" s="55" t="b">
        <f t="shared" si="25"/>
        <v>0</v>
      </c>
      <c r="G149" s="139">
        <f t="shared" si="26"/>
        <v>45565</v>
      </c>
      <c r="H149" s="105">
        <f>VLOOKUP( $A149, Aop!$A$2:$P$453, 4, 0)</f>
        <v>211</v>
      </c>
      <c r="I149" s="55">
        <f t="shared" si="24"/>
        <v>2024</v>
      </c>
      <c r="J149" s="55" t="str">
        <f t="shared" ca="1" si="30"/>
        <v/>
      </c>
      <c r="K149" s="55"/>
      <c r="L149" s="55"/>
      <c r="M149" s="55">
        <f t="shared" ca="1" si="29"/>
        <v>23844357</v>
      </c>
      <c r="N149" s="55">
        <f t="shared" ca="1" si="21"/>
        <v>23844357</v>
      </c>
    </row>
    <row r="150" spans="1:14" x14ac:dyDescent="0.2">
      <c r="A150" s="105">
        <v>150</v>
      </c>
      <c r="B150" s="105" t="str">
        <f>VLOOKUP( $A150, Aop!$A$2:$P$453, 2, 0)</f>
        <v>BUa</v>
      </c>
      <c r="C150" s="55">
        <v>27</v>
      </c>
      <c r="D150" s="55" t="str">
        <f t="shared" si="22"/>
        <v>01814788</v>
      </c>
      <c r="E150" s="55" t="str">
        <f t="shared" si="23"/>
        <v>4400570050004</v>
      </c>
      <c r="F150" s="55" t="b">
        <f t="shared" si="25"/>
        <v>0</v>
      </c>
      <c r="G150" s="139">
        <f t="shared" si="26"/>
        <v>45565</v>
      </c>
      <c r="H150" s="105">
        <f>VLOOKUP( $A150, Aop!$A$2:$P$453, 4, 0)</f>
        <v>212</v>
      </c>
      <c r="I150" s="55">
        <f t="shared" si="24"/>
        <v>2024</v>
      </c>
      <c r="J150" s="55" t="str">
        <f t="shared" ca="1" si="30"/>
        <v/>
      </c>
      <c r="K150" s="55"/>
      <c r="L150" s="55"/>
      <c r="M150" s="55">
        <f t="shared" ca="1" si="29"/>
        <v>1134306</v>
      </c>
      <c r="N150" s="55">
        <f t="shared" ca="1" si="21"/>
        <v>1134306</v>
      </c>
    </row>
    <row r="151" spans="1:14" x14ac:dyDescent="0.2">
      <c r="A151" s="105">
        <v>151</v>
      </c>
      <c r="B151" s="105" t="str">
        <f>VLOOKUP( $A151, Aop!$A$2:$P$453, 2, 0)</f>
        <v>BUa</v>
      </c>
      <c r="C151" s="55">
        <v>27</v>
      </c>
      <c r="D151" s="55" t="str">
        <f t="shared" si="22"/>
        <v>01814788</v>
      </c>
      <c r="E151" s="55" t="str">
        <f t="shared" si="23"/>
        <v>4400570050004</v>
      </c>
      <c r="F151" s="55" t="b">
        <f t="shared" si="25"/>
        <v>0</v>
      </c>
      <c r="G151" s="139">
        <f t="shared" si="26"/>
        <v>45565</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0</v>
      </c>
      <c r="G152" s="139">
        <f t="shared" si="26"/>
        <v>45565</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0</v>
      </c>
      <c r="G153" s="139">
        <f t="shared" si="26"/>
        <v>45565</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0</v>
      </c>
      <c r="G154" s="139">
        <f t="shared" si="26"/>
        <v>45565</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0</v>
      </c>
      <c r="G155" s="139">
        <f t="shared" si="26"/>
        <v>45565</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0</v>
      </c>
      <c r="G156" s="139">
        <f t="shared" si="26"/>
        <v>45565</v>
      </c>
      <c r="H156" s="105">
        <f>VLOOKUP( $A156, Aop!$A$2:$P$453, 4, 0)</f>
        <v>218</v>
      </c>
      <c r="I156" s="55">
        <f t="shared" si="24"/>
        <v>2024</v>
      </c>
      <c r="J156" s="55" t="str">
        <f t="shared" ca="1" si="30"/>
        <v/>
      </c>
      <c r="K156" s="55"/>
      <c r="L156" s="55"/>
      <c r="M156" s="55">
        <f t="shared" ca="1" si="29"/>
        <v>3986716</v>
      </c>
      <c r="N156" s="55">
        <f t="shared" ca="1" si="21"/>
        <v>3986716</v>
      </c>
    </row>
    <row r="157" spans="1:14" x14ac:dyDescent="0.2">
      <c r="A157" s="105">
        <v>157</v>
      </c>
      <c r="B157" s="105" t="str">
        <f>VLOOKUP( $A157, Aop!$A$2:$P$453, 2, 0)</f>
        <v>BUa</v>
      </c>
      <c r="C157" s="55">
        <v>27</v>
      </c>
      <c r="D157" s="55" t="str">
        <f t="shared" si="22"/>
        <v>01814788</v>
      </c>
      <c r="E157" s="55" t="str">
        <f t="shared" si="23"/>
        <v>4400570050004</v>
      </c>
      <c r="F157" s="55" t="b">
        <f t="shared" si="25"/>
        <v>0</v>
      </c>
      <c r="G157" s="139">
        <f t="shared" si="26"/>
        <v>45565</v>
      </c>
      <c r="H157" s="105">
        <f>VLOOKUP( $A157, Aop!$A$2:$P$453, 4, 0)</f>
        <v>219</v>
      </c>
      <c r="I157" s="55">
        <f t="shared" si="24"/>
        <v>2024</v>
      </c>
      <c r="J157" s="55" t="str">
        <f t="shared" ca="1" si="30"/>
        <v/>
      </c>
      <c r="K157" s="55"/>
      <c r="L157" s="55"/>
      <c r="M157" s="55">
        <f t="shared" ca="1" si="29"/>
        <v>26603146</v>
      </c>
      <c r="N157" s="55">
        <f t="shared" ca="1" si="21"/>
        <v>26603146</v>
      </c>
    </row>
    <row r="158" spans="1:14" x14ac:dyDescent="0.2">
      <c r="A158" s="105">
        <v>158</v>
      </c>
      <c r="B158" s="105" t="str">
        <f>VLOOKUP( $A158, Aop!$A$2:$P$453, 2, 0)</f>
        <v>BUa</v>
      </c>
      <c r="C158" s="55">
        <v>27</v>
      </c>
      <c r="D158" s="55" t="str">
        <f t="shared" si="22"/>
        <v>01814788</v>
      </c>
      <c r="E158" s="55" t="str">
        <f t="shared" si="23"/>
        <v>4400570050004</v>
      </c>
      <c r="F158" s="55" t="b">
        <f t="shared" si="25"/>
        <v>0</v>
      </c>
      <c r="G158" s="139">
        <f t="shared" si="26"/>
        <v>45565</v>
      </c>
      <c r="H158" s="105">
        <f>VLOOKUP( $A158, Aop!$A$2:$P$453, 4, 0)</f>
        <v>220</v>
      </c>
      <c r="I158" s="55">
        <f t="shared" si="24"/>
        <v>2024</v>
      </c>
      <c r="J158" s="55" t="str">
        <f t="shared" ca="1" si="30"/>
        <v/>
      </c>
      <c r="K158" s="55"/>
      <c r="L158" s="55"/>
      <c r="M158" s="55">
        <f t="shared" ca="1" si="29"/>
        <v>6359394</v>
      </c>
      <c r="N158" s="55">
        <f t="shared" ca="1" si="21"/>
        <v>6359394</v>
      </c>
    </row>
    <row r="159" spans="1:14" x14ac:dyDescent="0.2">
      <c r="A159" s="105">
        <v>159</v>
      </c>
      <c r="B159" s="55" t="str">
        <f>VLOOKUP( $A159, Aop!$A$2:$P$453, 2, 0)</f>
        <v>BUa</v>
      </c>
      <c r="C159" s="55">
        <v>27</v>
      </c>
      <c r="D159" s="55" t="str">
        <f>Podatak_MB</f>
        <v>01814788</v>
      </c>
      <c r="E159" s="55" t="str">
        <f>Podatak_JIB</f>
        <v>4400570050004</v>
      </c>
      <c r="F159" s="55" t="b">
        <f>Konsolidovan_izvjestaj</f>
        <v>0</v>
      </c>
      <c r="G159" s="139">
        <f>Datum_Broj</f>
        <v>45565</v>
      </c>
      <c r="H159" s="55">
        <f>VLOOKUP( $A159, Aop!$A$2:$P$453, 4, 0)</f>
        <v>221</v>
      </c>
      <c r="I159" s="55">
        <f>Godina</f>
        <v>2024</v>
      </c>
      <c r="J159" s="55" t="str">
        <f t="shared" ca="1" si="30"/>
        <v/>
      </c>
      <c r="K159" s="55"/>
      <c r="L159" s="55"/>
      <c r="M159" s="55">
        <f t="shared" ca="1" si="29"/>
        <v>422234</v>
      </c>
      <c r="N159" s="55">
        <f t="shared" ca="1" si="21"/>
        <v>422234</v>
      </c>
    </row>
    <row r="160" spans="1:14" x14ac:dyDescent="0.2">
      <c r="A160" s="105">
        <v>160</v>
      </c>
      <c r="B160" s="105" t="str">
        <f>VLOOKUP( $A160, Aop!$A$2:$P$453, 2, 0)</f>
        <v>BUa</v>
      </c>
      <c r="C160" s="55">
        <v>27</v>
      </c>
      <c r="D160" s="55" t="str">
        <f t="shared" si="22"/>
        <v>01814788</v>
      </c>
      <c r="E160" s="55" t="str">
        <f t="shared" si="23"/>
        <v>4400570050004</v>
      </c>
      <c r="F160" s="55" t="b">
        <f t="shared" si="25"/>
        <v>0</v>
      </c>
      <c r="G160" s="139">
        <f t="shared" si="26"/>
        <v>45565</v>
      </c>
      <c r="H160" s="105">
        <f>VLOOKUP( $A160, Aop!$A$2:$P$453, 4, 0)</f>
        <v>222</v>
      </c>
      <c r="I160" s="55">
        <f t="shared" si="24"/>
        <v>2024</v>
      </c>
      <c r="J160" s="55" t="str">
        <f t="shared" ca="1" si="30"/>
        <v/>
      </c>
      <c r="K160" s="55"/>
      <c r="L160" s="55"/>
      <c r="M160" s="55">
        <f t="shared" ca="1" si="29"/>
        <v>447922</v>
      </c>
      <c r="N160" s="55">
        <f t="shared" ca="1" si="21"/>
        <v>447922</v>
      </c>
    </row>
    <row r="161" spans="1:14" x14ac:dyDescent="0.2">
      <c r="A161" s="105">
        <v>161</v>
      </c>
      <c r="B161" s="105" t="str">
        <f>VLOOKUP( $A161, Aop!$A$2:$P$453, 2, 0)</f>
        <v>BUa</v>
      </c>
      <c r="C161" s="55">
        <v>27</v>
      </c>
      <c r="D161" s="55" t="str">
        <f t="shared" si="22"/>
        <v>01814788</v>
      </c>
      <c r="E161" s="55" t="str">
        <f t="shared" si="23"/>
        <v>4400570050004</v>
      </c>
      <c r="F161" s="55" t="b">
        <f t="shared" si="25"/>
        <v>0</v>
      </c>
      <c r="G161" s="139">
        <f t="shared" si="26"/>
        <v>45565</v>
      </c>
      <c r="H161" s="105">
        <f>VLOOKUP( $A161, Aop!$A$2:$P$453, 4, 0)</f>
        <v>223</v>
      </c>
      <c r="I161" s="55">
        <f t="shared" si="24"/>
        <v>2024</v>
      </c>
      <c r="J161" s="55" t="str">
        <f t="shared" ca="1" si="30"/>
        <v/>
      </c>
      <c r="K161" s="55"/>
      <c r="L161" s="55"/>
      <c r="M161" s="55">
        <f t="shared" ca="1" si="29"/>
        <v>10632922</v>
      </c>
      <c r="N161" s="55">
        <f t="shared" ca="1" si="21"/>
        <v>10632922</v>
      </c>
    </row>
    <row r="162" spans="1:14" x14ac:dyDescent="0.2">
      <c r="A162" s="105">
        <v>162</v>
      </c>
      <c r="B162" s="105" t="str">
        <f>VLOOKUP( $A162, Aop!$A$2:$P$453, 2, 0)</f>
        <v>BUa</v>
      </c>
      <c r="C162" s="55">
        <v>27</v>
      </c>
      <c r="D162" s="55" t="str">
        <f t="shared" si="22"/>
        <v>01814788</v>
      </c>
      <c r="E162" s="55" t="str">
        <f t="shared" si="23"/>
        <v>4400570050004</v>
      </c>
      <c r="F162" s="55" t="b">
        <f t="shared" si="25"/>
        <v>0</v>
      </c>
      <c r="G162" s="139">
        <f t="shared" si="26"/>
        <v>45565</v>
      </c>
      <c r="H162" s="105">
        <f>VLOOKUP( $A162, Aop!$A$2:$P$453, 4, 0)</f>
        <v>224</v>
      </c>
      <c r="I162" s="55">
        <f t="shared" si="24"/>
        <v>2024</v>
      </c>
      <c r="J162" s="55" t="str">
        <f t="shared" ca="1" si="30"/>
        <v/>
      </c>
      <c r="K162" s="55"/>
      <c r="L162" s="55"/>
      <c r="M162" s="55">
        <f t="shared" ca="1" si="29"/>
        <v>8430567</v>
      </c>
      <c r="N162" s="55">
        <f t="shared" ca="1" si="21"/>
        <v>8430567</v>
      </c>
    </row>
    <row r="163" spans="1:14" x14ac:dyDescent="0.2">
      <c r="A163" s="105">
        <v>163</v>
      </c>
      <c r="B163" s="105" t="str">
        <f>VLOOKUP( $A163, Aop!$A$2:$P$453, 2, 0)</f>
        <v>BUa</v>
      </c>
      <c r="C163" s="55">
        <v>27</v>
      </c>
      <c r="D163" s="55" t="str">
        <f t="shared" si="22"/>
        <v>01814788</v>
      </c>
      <c r="E163" s="55" t="str">
        <f t="shared" si="23"/>
        <v>4400570050004</v>
      </c>
      <c r="F163" s="55" t="b">
        <f t="shared" si="25"/>
        <v>0</v>
      </c>
      <c r="G163" s="139">
        <f t="shared" si="26"/>
        <v>45565</v>
      </c>
      <c r="H163" s="105">
        <f>VLOOKUP( $A163, Aop!$A$2:$P$453, 4, 0)</f>
        <v>225</v>
      </c>
      <c r="I163" s="55">
        <f t="shared" si="24"/>
        <v>2024</v>
      </c>
      <c r="J163" s="55" t="str">
        <f t="shared" ca="1" si="30"/>
        <v/>
      </c>
      <c r="K163" s="55"/>
      <c r="L163" s="55"/>
      <c r="M163" s="55">
        <f t="shared" ca="1" si="29"/>
        <v>2202355</v>
      </c>
      <c r="N163" s="55">
        <f t="shared" ca="1" si="21"/>
        <v>2202355</v>
      </c>
    </row>
    <row r="164" spans="1:14" x14ac:dyDescent="0.2">
      <c r="A164" s="105">
        <v>164</v>
      </c>
      <c r="B164" s="105" t="str">
        <f>VLOOKUP( $A164, Aop!$A$2:$P$453, 2, 0)</f>
        <v>BUa</v>
      </c>
      <c r="C164" s="55">
        <v>27</v>
      </c>
      <c r="D164" s="55" t="str">
        <f t="shared" si="22"/>
        <v>01814788</v>
      </c>
      <c r="E164" s="55" t="str">
        <f t="shared" si="23"/>
        <v>4400570050004</v>
      </c>
      <c r="F164" s="55" t="b">
        <f t="shared" si="25"/>
        <v>0</v>
      </c>
      <c r="G164" s="139">
        <f t="shared" si="26"/>
        <v>45565</v>
      </c>
      <c r="H164" s="105">
        <f>VLOOKUP( $A164, Aop!$A$2:$P$453, 4, 0)</f>
        <v>226</v>
      </c>
      <c r="I164" s="55">
        <f t="shared" si="24"/>
        <v>2024</v>
      </c>
      <c r="J164" s="55" t="str">
        <f t="shared" ca="1" si="30"/>
        <v/>
      </c>
      <c r="K164" s="55"/>
      <c r="L164" s="55"/>
      <c r="M164" s="55">
        <f t="shared" ca="1" si="29"/>
        <v>1091174</v>
      </c>
      <c r="N164" s="55">
        <f t="shared" ca="1" si="21"/>
        <v>1091174</v>
      </c>
    </row>
    <row r="165" spans="1:14" x14ac:dyDescent="0.2">
      <c r="A165" s="105">
        <v>165</v>
      </c>
      <c r="B165" s="105" t="str">
        <f>VLOOKUP( $A165, Aop!$A$2:$P$453, 2, 0)</f>
        <v>BUa</v>
      </c>
      <c r="C165" s="55">
        <v>27</v>
      </c>
      <c r="D165" s="55" t="str">
        <f t="shared" si="22"/>
        <v>01814788</v>
      </c>
      <c r="E165" s="55" t="str">
        <f t="shared" si="23"/>
        <v>4400570050004</v>
      </c>
      <c r="F165" s="55" t="b">
        <f t="shared" si="25"/>
        <v>0</v>
      </c>
      <c r="G165" s="139">
        <f t="shared" si="26"/>
        <v>45565</v>
      </c>
      <c r="H165" s="105">
        <f>VLOOKUP( $A165, Aop!$A$2:$P$453, 4, 0)</f>
        <v>227</v>
      </c>
      <c r="I165" s="55">
        <f t="shared" si="24"/>
        <v>2024</v>
      </c>
      <c r="J165" s="55" t="str">
        <f t="shared" ca="1" si="30"/>
        <v/>
      </c>
      <c r="K165" s="55"/>
      <c r="L165" s="55"/>
      <c r="M165" s="55">
        <f t="shared" ca="1" si="29"/>
        <v>4632604</v>
      </c>
      <c r="N165" s="55">
        <f t="shared" ca="1" si="21"/>
        <v>4632604</v>
      </c>
    </row>
    <row r="166" spans="1:14" x14ac:dyDescent="0.2">
      <c r="A166" s="105">
        <v>167</v>
      </c>
      <c r="B166" s="105" t="str">
        <f>VLOOKUP( $A166, Aop!$A$2:$P$453, 2, 0)</f>
        <v>BUa</v>
      </c>
      <c r="C166" s="55">
        <v>27</v>
      </c>
      <c r="D166" s="55" t="str">
        <f t="shared" si="22"/>
        <v>01814788</v>
      </c>
      <c r="E166" s="55" t="str">
        <f t="shared" si="23"/>
        <v>4400570050004</v>
      </c>
      <c r="F166" s="55" t="b">
        <f t="shared" si="25"/>
        <v>0</v>
      </c>
      <c r="G166" s="139">
        <f t="shared" si="26"/>
        <v>45565</v>
      </c>
      <c r="H166" s="105">
        <f>VLOOKUP( $A166, Aop!$A$2:$P$453, 4, 0)</f>
        <v>229</v>
      </c>
      <c r="I166" s="55">
        <f t="shared" si="24"/>
        <v>2024</v>
      </c>
      <c r="J166" s="55" t="str">
        <f t="shared" ca="1" si="30"/>
        <v/>
      </c>
      <c r="K166" s="55"/>
      <c r="L166" s="55"/>
      <c r="M166" s="55">
        <f t="shared" ca="1" si="29"/>
        <v>4614872</v>
      </c>
      <c r="N166" s="55">
        <f t="shared" ca="1" si="21"/>
        <v>4614872</v>
      </c>
    </row>
    <row r="167" spans="1:14" x14ac:dyDescent="0.2">
      <c r="A167" s="105">
        <v>168</v>
      </c>
      <c r="B167" s="105" t="str">
        <f>VLOOKUP( $A167, Aop!$A$2:$P$453, 2, 0)</f>
        <v>BUa</v>
      </c>
      <c r="C167" s="55">
        <v>27</v>
      </c>
      <c r="D167" s="55" t="str">
        <f t="shared" si="22"/>
        <v>01814788</v>
      </c>
      <c r="E167" s="55" t="str">
        <f t="shared" si="23"/>
        <v>4400570050004</v>
      </c>
      <c r="F167" s="55" t="b">
        <f t="shared" si="25"/>
        <v>0</v>
      </c>
      <c r="G167" s="139">
        <f t="shared" si="26"/>
        <v>45565</v>
      </c>
      <c r="H167" s="105">
        <f>VLOOKUP( $A167, Aop!$A$2:$P$453, 4, 0)</f>
        <v>230</v>
      </c>
      <c r="I167" s="55">
        <f t="shared" si="24"/>
        <v>2024</v>
      </c>
      <c r="J167" s="55" t="str">
        <f t="shared" ca="1" si="30"/>
        <v/>
      </c>
      <c r="K167" s="55"/>
      <c r="L167" s="55"/>
      <c r="M167" s="55">
        <f t="shared" ca="1" si="29"/>
        <v>2655</v>
      </c>
      <c r="N167" s="55">
        <f t="shared" ca="1" si="21"/>
        <v>2655</v>
      </c>
    </row>
    <row r="168" spans="1:14" x14ac:dyDescent="0.2">
      <c r="A168" s="105">
        <v>169</v>
      </c>
      <c r="B168" s="105" t="str">
        <f>VLOOKUP( $A168, Aop!$A$2:$P$453, 2, 0)</f>
        <v>BUa</v>
      </c>
      <c r="C168" s="55">
        <v>27</v>
      </c>
      <c r="D168" s="55" t="str">
        <f t="shared" si="22"/>
        <v>01814788</v>
      </c>
      <c r="E168" s="55" t="str">
        <f t="shared" si="23"/>
        <v>4400570050004</v>
      </c>
      <c r="F168" s="55" t="b">
        <f t="shared" si="25"/>
        <v>0</v>
      </c>
      <c r="G168" s="139">
        <f t="shared" si="26"/>
        <v>45565</v>
      </c>
      <c r="H168" s="105">
        <f>VLOOKUP( $A168, Aop!$A$2:$P$453, 4, 0)</f>
        <v>231</v>
      </c>
      <c r="I168" s="55">
        <f t="shared" si="24"/>
        <v>2024</v>
      </c>
      <c r="J168" s="55" t="str">
        <f t="shared" ca="1" si="30"/>
        <v/>
      </c>
      <c r="K168" s="55"/>
      <c r="L168" s="55"/>
      <c r="M168" s="55">
        <f t="shared" ca="1" si="29"/>
        <v>15077</v>
      </c>
      <c r="N168" s="55">
        <f t="shared" ca="1" si="21"/>
        <v>15077</v>
      </c>
    </row>
    <row r="169" spans="1:14" x14ac:dyDescent="0.2">
      <c r="A169" s="105">
        <v>170</v>
      </c>
      <c r="B169" s="105" t="str">
        <f>VLOOKUP( $A169, Aop!$A$2:$P$453, 2, 0)</f>
        <v>BUa</v>
      </c>
      <c r="C169" s="55">
        <v>27</v>
      </c>
      <c r="D169" s="55" t="str">
        <f t="shared" si="22"/>
        <v>01814788</v>
      </c>
      <c r="E169" s="55" t="str">
        <f t="shared" si="23"/>
        <v>4400570050004</v>
      </c>
      <c r="F169" s="55" t="b">
        <f t="shared" si="25"/>
        <v>0</v>
      </c>
      <c r="G169" s="139">
        <f t="shared" si="26"/>
        <v>45565</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0</v>
      </c>
      <c r="G170" s="139">
        <f t="shared" si="26"/>
        <v>45565</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0</v>
      </c>
      <c r="G171" s="139">
        <f t="shared" si="26"/>
        <v>45565</v>
      </c>
      <c r="H171" s="105">
        <f>VLOOKUP( $A171, Aop!$A$2:$P$453, 4, 0)</f>
        <v>234</v>
      </c>
      <c r="I171" s="55">
        <f t="shared" si="24"/>
        <v>2024</v>
      </c>
      <c r="J171" s="55" t="str">
        <f t="shared" ca="1" si="30"/>
        <v/>
      </c>
      <c r="K171" s="55"/>
      <c r="L171" s="55"/>
      <c r="M171" s="55">
        <f t="shared" ca="1" si="29"/>
        <v>2803445</v>
      </c>
      <c r="N171" s="55">
        <f t="shared" ca="1" si="21"/>
        <v>2803445</v>
      </c>
    </row>
    <row r="172" spans="1:14" x14ac:dyDescent="0.2">
      <c r="A172" s="105">
        <v>173</v>
      </c>
      <c r="B172" s="105" t="str">
        <f>VLOOKUP( $A172, Aop!$A$2:$P$453, 2, 0)</f>
        <v>BUa</v>
      </c>
      <c r="C172" s="55">
        <v>27</v>
      </c>
      <c r="D172" s="55" t="str">
        <f t="shared" si="22"/>
        <v>01814788</v>
      </c>
      <c r="E172" s="55" t="str">
        <f t="shared" si="23"/>
        <v>4400570050004</v>
      </c>
      <c r="F172" s="55" t="b">
        <f t="shared" si="25"/>
        <v>0</v>
      </c>
      <c r="G172" s="139">
        <f t="shared" si="26"/>
        <v>45565</v>
      </c>
      <c r="H172" s="105">
        <f>VLOOKUP( $A172, Aop!$A$2:$P$453, 4, 0)</f>
        <v>235</v>
      </c>
      <c r="I172" s="55">
        <f t="shared" si="24"/>
        <v>2024</v>
      </c>
      <c r="J172" s="55" t="str">
        <f t="shared" ca="1" si="30"/>
        <v/>
      </c>
      <c r="K172" s="55"/>
      <c r="L172" s="55"/>
      <c r="M172" s="55">
        <f t="shared" ca="1" si="29"/>
        <v>83929</v>
      </c>
      <c r="N172" s="55">
        <f t="shared" ca="1" si="21"/>
        <v>83929</v>
      </c>
    </row>
    <row r="173" spans="1:14" x14ac:dyDescent="0.2">
      <c r="A173" s="105">
        <v>174</v>
      </c>
      <c r="B173" s="55" t="str">
        <f>VLOOKUP( $A173, Aop!$A$2:$P$453, 2, 0)</f>
        <v>BUa</v>
      </c>
      <c r="C173" s="55">
        <v>27</v>
      </c>
      <c r="D173" s="55" t="str">
        <f>Podatak_MB</f>
        <v>01814788</v>
      </c>
      <c r="E173" s="55" t="str">
        <f>Podatak_JIB</f>
        <v>4400570050004</v>
      </c>
      <c r="F173" s="55" t="b">
        <f>Konsolidovan_izvjestaj</f>
        <v>0</v>
      </c>
      <c r="G173" s="139">
        <f>Datum_Broj</f>
        <v>45565</v>
      </c>
      <c r="H173" s="55">
        <f>VLOOKUP( $A173, Aop!$A$2:$P$453, 4, 0)</f>
        <v>236</v>
      </c>
      <c r="I173" s="55">
        <f>Godina</f>
        <v>2024</v>
      </c>
      <c r="J173" s="55" t="str">
        <f t="shared" ca="1" si="30"/>
        <v/>
      </c>
      <c r="K173" s="55"/>
      <c r="L173" s="55"/>
      <c r="M173" s="55">
        <f t="shared" ca="1" si="29"/>
        <v>129522</v>
      </c>
      <c r="N173" s="55">
        <f t="shared" ca="1" si="21"/>
        <v>129522</v>
      </c>
    </row>
    <row r="174" spans="1:14" x14ac:dyDescent="0.2">
      <c r="A174" s="105">
        <v>175</v>
      </c>
      <c r="B174" s="105" t="str">
        <f>VLOOKUP( $A174, Aop!$A$2:$P$453, 2, 0)</f>
        <v>BUa</v>
      </c>
      <c r="C174" s="55">
        <v>27</v>
      </c>
      <c r="D174" s="55" t="str">
        <f t="shared" si="22"/>
        <v>01814788</v>
      </c>
      <c r="E174" s="55" t="str">
        <f t="shared" si="23"/>
        <v>4400570050004</v>
      </c>
      <c r="F174" s="55" t="b">
        <f t="shared" si="25"/>
        <v>0</v>
      </c>
      <c r="G174" s="139">
        <f t="shared" si="26"/>
        <v>45565</v>
      </c>
      <c r="H174" s="105">
        <f>VLOOKUP( $A174, Aop!$A$2:$P$453, 4, 0)</f>
        <v>237</v>
      </c>
      <c r="I174" s="55">
        <f t="shared" si="24"/>
        <v>2024</v>
      </c>
      <c r="J174" s="55" t="str">
        <f t="shared" ca="1" si="30"/>
        <v/>
      </c>
      <c r="K174" s="55"/>
      <c r="L174" s="55"/>
      <c r="M174" s="55">
        <f t="shared" ca="1" si="29"/>
        <v>2374466</v>
      </c>
      <c r="N174" s="55">
        <f t="shared" ca="1" si="21"/>
        <v>2374466</v>
      </c>
    </row>
    <row r="175" spans="1:14" x14ac:dyDescent="0.2">
      <c r="A175" s="105">
        <v>176</v>
      </c>
      <c r="B175" s="105" t="str">
        <f>VLOOKUP( $A175, Aop!$A$2:$P$453, 2, 0)</f>
        <v>BUa</v>
      </c>
      <c r="C175" s="55">
        <v>27</v>
      </c>
      <c r="D175" s="55" t="str">
        <f t="shared" si="22"/>
        <v>01814788</v>
      </c>
      <c r="E175" s="55" t="str">
        <f t="shared" si="23"/>
        <v>4400570050004</v>
      </c>
      <c r="F175" s="55" t="b">
        <f t="shared" si="25"/>
        <v>0</v>
      </c>
      <c r="G175" s="139">
        <f t="shared" si="26"/>
        <v>45565</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0</v>
      </c>
      <c r="G176" s="139">
        <f t="shared" si="26"/>
        <v>45565</v>
      </c>
      <c r="H176" s="105">
        <f>VLOOKUP( $A176, Aop!$A$2:$P$453, 4, 0)</f>
        <v>239</v>
      </c>
      <c r="I176" s="55">
        <f t="shared" si="24"/>
        <v>2024</v>
      </c>
      <c r="J176" s="55" t="str">
        <f t="shared" ca="1" si="30"/>
        <v/>
      </c>
      <c r="K176" s="55"/>
      <c r="L176" s="55"/>
      <c r="M176" s="55">
        <f t="shared" ca="1" si="29"/>
        <v>18658</v>
      </c>
      <c r="N176" s="55">
        <f t="shared" ca="1" si="21"/>
        <v>18658</v>
      </c>
    </row>
    <row r="177" spans="1:14" x14ac:dyDescent="0.2">
      <c r="A177" s="105">
        <v>178</v>
      </c>
      <c r="B177" s="105" t="str">
        <f>VLOOKUP( $A177, Aop!$A$2:$P$453, 2, 0)</f>
        <v>BUa</v>
      </c>
      <c r="C177" s="55">
        <v>27</v>
      </c>
      <c r="D177" s="55" t="str">
        <f t="shared" si="22"/>
        <v>01814788</v>
      </c>
      <c r="E177" s="55" t="str">
        <f t="shared" si="23"/>
        <v>4400570050004</v>
      </c>
      <c r="F177" s="55" t="b">
        <f t="shared" si="25"/>
        <v>0</v>
      </c>
      <c r="G177" s="139">
        <f t="shared" si="26"/>
        <v>45565</v>
      </c>
      <c r="H177" s="105">
        <f>VLOOKUP( $A177, Aop!$A$2:$P$453, 4, 0)</f>
        <v>240</v>
      </c>
      <c r="I177" s="55">
        <f t="shared" si="24"/>
        <v>2024</v>
      </c>
      <c r="J177" s="55" t="str">
        <f t="shared" ca="1" si="30"/>
        <v/>
      </c>
      <c r="K177" s="55"/>
      <c r="L177" s="55"/>
      <c r="M177" s="55">
        <f t="shared" ca="1" si="29"/>
        <v>18655</v>
      </c>
      <c r="N177" s="55">
        <f t="shared" ca="1" si="21"/>
        <v>18655</v>
      </c>
    </row>
    <row r="178" spans="1:14" x14ac:dyDescent="0.2">
      <c r="A178" s="105">
        <v>179</v>
      </c>
      <c r="B178" s="105" t="str">
        <f>VLOOKUP( $A178, Aop!$A$2:$P$453, 2, 0)</f>
        <v>BUa</v>
      </c>
      <c r="C178" s="55">
        <v>27</v>
      </c>
      <c r="D178" s="55" t="str">
        <f t="shared" si="22"/>
        <v>01814788</v>
      </c>
      <c r="E178" s="55" t="str">
        <f t="shared" si="23"/>
        <v>4400570050004</v>
      </c>
      <c r="F178" s="55" t="b">
        <f t="shared" si="25"/>
        <v>0</v>
      </c>
      <c r="G178" s="139">
        <f t="shared" si="26"/>
        <v>45565</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0</v>
      </c>
      <c r="G179" s="139">
        <f t="shared" si="26"/>
        <v>45565</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0</v>
      </c>
      <c r="G180" s="139">
        <f t="shared" si="26"/>
        <v>45565</v>
      </c>
      <c r="H180" s="105">
        <f>VLOOKUP( $A180, Aop!$A$2:$P$453, 4, 0)</f>
        <v>243</v>
      </c>
      <c r="I180" s="55">
        <f t="shared" si="24"/>
        <v>2024</v>
      </c>
      <c r="J180" s="55" t="str">
        <f t="shared" ca="1" si="30"/>
        <v/>
      </c>
      <c r="K180" s="55"/>
      <c r="L180" s="55"/>
      <c r="M180" s="55">
        <f t="shared" ca="1" si="29"/>
        <v>3</v>
      </c>
      <c r="N180" s="55">
        <f t="shared" ca="1" si="21"/>
        <v>3</v>
      </c>
    </row>
    <row r="181" spans="1:14" x14ac:dyDescent="0.2">
      <c r="A181" s="105">
        <v>183</v>
      </c>
      <c r="B181" s="105" t="str">
        <f>VLOOKUP( $A181, Aop!$A$2:$P$453, 2, 0)</f>
        <v>BUa</v>
      </c>
      <c r="C181" s="55">
        <v>27</v>
      </c>
      <c r="D181" s="55" t="str">
        <f t="shared" si="22"/>
        <v>01814788</v>
      </c>
      <c r="E181" s="55" t="str">
        <f t="shared" si="23"/>
        <v>4400570050004</v>
      </c>
      <c r="F181" s="55" t="b">
        <f t="shared" si="25"/>
        <v>0</v>
      </c>
      <c r="G181" s="139">
        <f t="shared" si="26"/>
        <v>45565</v>
      </c>
      <c r="H181" s="105">
        <f>VLOOKUP( $A181, Aop!$A$2:$P$453, 4, 0)</f>
        <v>245</v>
      </c>
      <c r="I181" s="55">
        <f t="shared" si="24"/>
        <v>2024</v>
      </c>
      <c r="J181" s="55" t="str">
        <f t="shared" ca="1" si="30"/>
        <v/>
      </c>
      <c r="K181" s="55"/>
      <c r="L181" s="55"/>
      <c r="M181" s="55">
        <f t="shared" ca="1" si="29"/>
        <v>209939</v>
      </c>
      <c r="N181" s="55">
        <f t="shared" ca="1" si="21"/>
        <v>209939</v>
      </c>
    </row>
    <row r="182" spans="1:14" x14ac:dyDescent="0.2">
      <c r="A182" s="105">
        <v>184</v>
      </c>
      <c r="B182" s="105" t="str">
        <f>VLOOKUP( $A182, Aop!$A$2:$P$453, 2, 0)</f>
        <v>BUa</v>
      </c>
      <c r="C182" s="55">
        <v>27</v>
      </c>
      <c r="D182" s="55" t="str">
        <f t="shared" si="22"/>
        <v>01814788</v>
      </c>
      <c r="E182" s="55" t="str">
        <f t="shared" si="23"/>
        <v>4400570050004</v>
      </c>
      <c r="F182" s="55" t="b">
        <f t="shared" si="25"/>
        <v>0</v>
      </c>
      <c r="G182" s="139">
        <f t="shared" si="26"/>
        <v>45565</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0</v>
      </c>
      <c r="G183" s="139">
        <f t="shared" si="26"/>
        <v>45565</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0</v>
      </c>
      <c r="G184" s="139">
        <f t="shared" si="26"/>
        <v>45565</v>
      </c>
      <c r="H184" s="105">
        <f>VLOOKUP( $A184, Aop!$A$2:$P$453, 4, 0)</f>
        <v>248</v>
      </c>
      <c r="I184" s="55">
        <f t="shared" si="24"/>
        <v>2024</v>
      </c>
      <c r="J184" s="55" t="str">
        <f t="shared" ca="1" si="30"/>
        <v/>
      </c>
      <c r="K184" s="55"/>
      <c r="L184" s="55"/>
      <c r="M184" s="55">
        <f t="shared" ca="1" si="29"/>
        <v>3</v>
      </c>
      <c r="N184" s="55">
        <f t="shared" ca="1" si="21"/>
        <v>3</v>
      </c>
    </row>
    <row r="185" spans="1:14" x14ac:dyDescent="0.2">
      <c r="A185" s="105">
        <v>187</v>
      </c>
      <c r="B185" s="105" t="str">
        <f>VLOOKUP( $A185, Aop!$A$2:$P$453, 2, 0)</f>
        <v>BUa</v>
      </c>
      <c r="C185" s="55">
        <v>27</v>
      </c>
      <c r="D185" s="55" t="str">
        <f t="shared" si="22"/>
        <v>01814788</v>
      </c>
      <c r="E185" s="55" t="str">
        <f t="shared" si="23"/>
        <v>4400570050004</v>
      </c>
      <c r="F185" s="55" t="b">
        <f t="shared" si="25"/>
        <v>0</v>
      </c>
      <c r="G185" s="139">
        <f t="shared" si="26"/>
        <v>45565</v>
      </c>
      <c r="H185" s="105">
        <f>VLOOKUP( $A185, Aop!$A$2:$P$453, 4, 0)</f>
        <v>249</v>
      </c>
      <c r="I185" s="55">
        <f t="shared" si="24"/>
        <v>2024</v>
      </c>
      <c r="J185" s="55" t="str">
        <f t="shared" ca="1" si="30"/>
        <v/>
      </c>
      <c r="K185" s="55"/>
      <c r="L185" s="55"/>
      <c r="M185" s="55">
        <f t="shared" ca="1" si="29"/>
        <v>2183182</v>
      </c>
      <c r="N185" s="55">
        <f t="shared" ca="1" si="21"/>
        <v>2183182</v>
      </c>
    </row>
    <row r="186" spans="1:14" x14ac:dyDescent="0.2">
      <c r="A186" s="105">
        <v>188</v>
      </c>
      <c r="B186" s="105" t="str">
        <f>VLOOKUP( $A186, Aop!$A$2:$P$453, 2, 0)</f>
        <v>BUa</v>
      </c>
      <c r="C186" s="55">
        <v>27</v>
      </c>
      <c r="D186" s="55" t="str">
        <f t="shared" si="22"/>
        <v>01814788</v>
      </c>
      <c r="E186" s="55" t="str">
        <f t="shared" si="23"/>
        <v>4400570050004</v>
      </c>
      <c r="F186" s="55" t="b">
        <f t="shared" si="25"/>
        <v>0</v>
      </c>
      <c r="G186" s="139">
        <f t="shared" si="26"/>
        <v>45565</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0</v>
      </c>
      <c r="G187" s="139">
        <f t="shared" si="26"/>
        <v>45565</v>
      </c>
      <c r="H187" s="105">
        <f>VLOOKUP( $A187, Aop!$A$2:$P$453, 4, 0)</f>
        <v>251</v>
      </c>
      <c r="I187" s="55">
        <f t="shared" si="24"/>
        <v>2024</v>
      </c>
      <c r="J187" s="55" t="str">
        <f t="shared" ca="1" si="30"/>
        <v/>
      </c>
      <c r="K187" s="55"/>
      <c r="L187" s="55"/>
      <c r="M187" s="55">
        <f t="shared" ca="1" si="29"/>
        <v>445169</v>
      </c>
      <c r="N187" s="55">
        <f t="shared" ca="1" si="21"/>
        <v>445169</v>
      </c>
    </row>
    <row r="188" spans="1:14" x14ac:dyDescent="0.2">
      <c r="A188" s="105">
        <v>190</v>
      </c>
      <c r="B188" s="105" t="str">
        <f>VLOOKUP( $A188, Aop!$A$2:$P$453, 2, 0)</f>
        <v>BUa</v>
      </c>
      <c r="C188" s="55">
        <v>27</v>
      </c>
      <c r="D188" s="55" t="str">
        <f t="shared" si="22"/>
        <v>01814788</v>
      </c>
      <c r="E188" s="55" t="str">
        <f t="shared" si="23"/>
        <v>4400570050004</v>
      </c>
      <c r="F188" s="55" t="b">
        <f t="shared" si="25"/>
        <v>0</v>
      </c>
      <c r="G188" s="139">
        <f t="shared" si="26"/>
        <v>45565</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0</v>
      </c>
      <c r="G189" s="139">
        <f t="shared" si="26"/>
        <v>45565</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0</v>
      </c>
      <c r="G190" s="139">
        <f t="shared" si="26"/>
        <v>45565</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0</v>
      </c>
      <c r="G191" s="139">
        <f t="shared" si="26"/>
        <v>45565</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0</v>
      </c>
      <c r="G192" s="139">
        <f t="shared" ref="G192:G253" si="35">Datum_Broj</f>
        <v>45565</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0</v>
      </c>
      <c r="G193" s="139">
        <f t="shared" si="35"/>
        <v>45565</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0</v>
      </c>
      <c r="G194" s="139">
        <f t="shared" si="35"/>
        <v>45565</v>
      </c>
      <c r="H194" s="105">
        <f>VLOOKUP( $A194, Aop!$A$2:$P$453, 4, 0)</f>
        <v>258</v>
      </c>
      <c r="I194" s="55">
        <f t="shared" si="33"/>
        <v>2024</v>
      </c>
      <c r="J194" s="55" t="str">
        <f t="shared" ca="1" si="30"/>
        <v/>
      </c>
      <c r="K194" s="55"/>
      <c r="L194" s="55"/>
      <c r="M194" s="55">
        <f t="shared" ca="1" si="29"/>
        <v>105</v>
      </c>
      <c r="N194" s="55">
        <f t="shared" ref="N194:N257" ca="1" si="36">IF( VLOOKUP( $H194, INDIRECT( "Lookup_" &amp; $B194), IF( LEFT( $B194, 2) = "BS", S$2, S$1), 0) = "", "", VLOOKUP( $H194, INDIRECT( "Lookup_" &amp; $B194), IF( LEFT( $B194, 2) = "BS", S$2, S$1), 0))</f>
        <v>105</v>
      </c>
    </row>
    <row r="195" spans="1:14" x14ac:dyDescent="0.2">
      <c r="A195" s="105">
        <v>197</v>
      </c>
      <c r="B195" s="105" t="str">
        <f>VLOOKUP( $A195, Aop!$A$2:$P$453, 2, 0)</f>
        <v>BUa</v>
      </c>
      <c r="C195" s="55">
        <v>27</v>
      </c>
      <c r="D195" s="55" t="str">
        <f t="shared" si="31"/>
        <v>01814788</v>
      </c>
      <c r="E195" s="55" t="str">
        <f t="shared" si="32"/>
        <v>4400570050004</v>
      </c>
      <c r="F195" s="55" t="b">
        <f t="shared" si="34"/>
        <v>0</v>
      </c>
      <c r="G195" s="139">
        <f t="shared" si="35"/>
        <v>45565</v>
      </c>
      <c r="H195" s="105">
        <f>VLOOKUP( $A195, Aop!$A$2:$P$453, 4, 0)</f>
        <v>259</v>
      </c>
      <c r="I195" s="55">
        <f t="shared" si="33"/>
        <v>2024</v>
      </c>
      <c r="J195" s="55" t="str">
        <f t="shared" ca="1" si="30"/>
        <v/>
      </c>
      <c r="K195" s="55"/>
      <c r="L195" s="55"/>
      <c r="M195" s="55">
        <f t="shared" ca="1" si="29"/>
        <v>445064</v>
      </c>
      <c r="N195" s="55">
        <f t="shared" ca="1" si="36"/>
        <v>445064</v>
      </c>
    </row>
    <row r="196" spans="1:14" x14ac:dyDescent="0.2">
      <c r="A196" s="105">
        <v>198</v>
      </c>
      <c r="B196" s="55" t="str">
        <f>VLOOKUP( $A196, Aop!$A$2:$P$453, 2, 0)</f>
        <v>BUa</v>
      </c>
      <c r="C196" s="55">
        <v>27</v>
      </c>
      <c r="D196" s="55" t="str">
        <f>Podatak_MB</f>
        <v>01814788</v>
      </c>
      <c r="E196" s="55" t="str">
        <f>Podatak_JIB</f>
        <v>4400570050004</v>
      </c>
      <c r="F196" s="55" t="b">
        <f>Konsolidovan_izvjestaj</f>
        <v>0</v>
      </c>
      <c r="G196" s="139">
        <f>Datum_Broj</f>
        <v>45565</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0</v>
      </c>
      <c r="G197" s="139">
        <f t="shared" si="35"/>
        <v>45565</v>
      </c>
      <c r="H197" s="105">
        <f>VLOOKUP( $A197, Aop!$A$2:$P$453, 4, 0)</f>
        <v>261</v>
      </c>
      <c r="I197" s="55">
        <f t="shared" si="33"/>
        <v>2024</v>
      </c>
      <c r="J197" s="55" t="str">
        <f t="shared" ca="1" si="30"/>
        <v/>
      </c>
      <c r="K197" s="55"/>
      <c r="L197" s="55"/>
      <c r="M197" s="55">
        <f t="shared" ca="1" si="29"/>
        <v>146807</v>
      </c>
      <c r="N197" s="55">
        <f t="shared" ca="1" si="36"/>
        <v>146807</v>
      </c>
    </row>
    <row r="198" spans="1:14" x14ac:dyDescent="0.2">
      <c r="A198" s="105">
        <v>200</v>
      </c>
      <c r="B198" s="105" t="str">
        <f>VLOOKUP( $A198, Aop!$A$2:$P$453, 2, 0)</f>
        <v>BUa</v>
      </c>
      <c r="C198" s="55">
        <v>27</v>
      </c>
      <c r="D198" s="55" t="str">
        <f t="shared" si="31"/>
        <v>01814788</v>
      </c>
      <c r="E198" s="55" t="str">
        <f t="shared" si="32"/>
        <v>4400570050004</v>
      </c>
      <c r="F198" s="55" t="b">
        <f t="shared" si="34"/>
        <v>0</v>
      </c>
      <c r="G198" s="139">
        <f t="shared" si="35"/>
        <v>45565</v>
      </c>
      <c r="H198" s="105">
        <f>VLOOKUP( $A198, Aop!$A$2:$P$453, 4, 0)</f>
        <v>262</v>
      </c>
      <c r="I198" s="55">
        <f t="shared" si="33"/>
        <v>2024</v>
      </c>
      <c r="J198" s="55" t="str">
        <f t="shared" ca="1" si="30"/>
        <v/>
      </c>
      <c r="K198" s="55"/>
      <c r="L198" s="55"/>
      <c r="M198" s="55">
        <f t="shared" ref="M198:M261" ca="1" si="37">IF( VLOOKUP( $H198, INDIRECT( "Lookup_" &amp; $B198), IF( LEFT( $B198, 2) = "BS", S$2, S$1), 0) = "", "", VLOOKUP( $H198, INDIRECT( "Lookup_" &amp; $B198), IF( LEFT( $B198, 2) = "BS", S$2, S$1), 0))</f>
        <v>89126</v>
      </c>
      <c r="N198" s="55">
        <f t="shared" ca="1" si="36"/>
        <v>89126</v>
      </c>
    </row>
    <row r="199" spans="1:14" x14ac:dyDescent="0.2">
      <c r="A199" s="105">
        <v>201</v>
      </c>
      <c r="B199" s="105" t="str">
        <f>VLOOKUP( $A199, Aop!$A$2:$P$453, 2, 0)</f>
        <v>BUa</v>
      </c>
      <c r="C199" s="55">
        <v>27</v>
      </c>
      <c r="D199" s="55" t="str">
        <f t="shared" si="31"/>
        <v>01814788</v>
      </c>
      <c r="E199" s="55" t="str">
        <f t="shared" si="32"/>
        <v>4400570050004</v>
      </c>
      <c r="F199" s="55" t="b">
        <f t="shared" si="34"/>
        <v>0</v>
      </c>
      <c r="G199" s="139">
        <f t="shared" si="35"/>
        <v>45565</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0</v>
      </c>
      <c r="G200" s="139">
        <f t="shared" si="35"/>
        <v>45565</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0</v>
      </c>
      <c r="G201" s="139">
        <f t="shared" si="35"/>
        <v>45565</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0</v>
      </c>
      <c r="G202" s="139">
        <f t="shared" si="35"/>
        <v>45565</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0</v>
      </c>
      <c r="G203" s="139">
        <f t="shared" si="35"/>
        <v>45565</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0</v>
      </c>
      <c r="G204" s="139">
        <f t="shared" si="35"/>
        <v>45565</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0</v>
      </c>
      <c r="G205" s="139">
        <f t="shared" si="35"/>
        <v>45565</v>
      </c>
      <c r="H205" s="105">
        <f>VLOOKUP( $A205, Aop!$A$2:$P$453, 4, 0)</f>
        <v>270</v>
      </c>
      <c r="I205" s="55">
        <f t="shared" si="33"/>
        <v>2024</v>
      </c>
      <c r="J205" s="55" t="str">
        <f t="shared" ca="1" si="38"/>
        <v/>
      </c>
      <c r="K205" s="55"/>
      <c r="L205" s="55"/>
      <c r="M205" s="55">
        <f t="shared" ca="1" si="37"/>
        <v>57681</v>
      </c>
      <c r="N205" s="55">
        <f t="shared" ca="1" si="36"/>
        <v>57681</v>
      </c>
    </row>
    <row r="206" spans="1:14" x14ac:dyDescent="0.2">
      <c r="A206" s="105">
        <v>209</v>
      </c>
      <c r="B206" s="105" t="str">
        <f>VLOOKUP( $A206, Aop!$A$2:$P$453, 2, 0)</f>
        <v>BUa</v>
      </c>
      <c r="C206" s="55">
        <v>27</v>
      </c>
      <c r="D206" s="55" t="str">
        <f t="shared" si="31"/>
        <v>01814788</v>
      </c>
      <c r="E206" s="55" t="str">
        <f t="shared" si="32"/>
        <v>4400570050004</v>
      </c>
      <c r="F206" s="55" t="b">
        <f t="shared" si="34"/>
        <v>0</v>
      </c>
      <c r="G206" s="139">
        <f t="shared" si="35"/>
        <v>45565</v>
      </c>
      <c r="H206" s="105">
        <f>VLOOKUP( $A206, Aop!$A$2:$P$453, 4, 0)</f>
        <v>271</v>
      </c>
      <c r="I206" s="55">
        <f t="shared" si="33"/>
        <v>2024</v>
      </c>
      <c r="J206" s="55" t="str">
        <f t="shared" ca="1" si="38"/>
        <v/>
      </c>
      <c r="K206" s="55"/>
      <c r="L206" s="55"/>
      <c r="M206" s="55">
        <f t="shared" ca="1" si="37"/>
        <v>298362</v>
      </c>
      <c r="N206" s="55">
        <f t="shared" ca="1" si="36"/>
        <v>298362</v>
      </c>
    </row>
    <row r="207" spans="1:14" x14ac:dyDescent="0.2">
      <c r="A207" s="105">
        <v>210</v>
      </c>
      <c r="B207" s="105" t="str">
        <f>VLOOKUP( $A207, Aop!$A$2:$P$453, 2, 0)</f>
        <v>BUa</v>
      </c>
      <c r="C207" s="55">
        <v>27</v>
      </c>
      <c r="D207" s="55" t="str">
        <f t="shared" si="31"/>
        <v>01814788</v>
      </c>
      <c r="E207" s="55" t="str">
        <f t="shared" si="32"/>
        <v>4400570050004</v>
      </c>
      <c r="F207" s="55" t="b">
        <f t="shared" si="34"/>
        <v>0</v>
      </c>
      <c r="G207" s="139">
        <f t="shared" si="35"/>
        <v>45565</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0</v>
      </c>
      <c r="G208" s="139">
        <f t="shared" si="35"/>
        <v>45565</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0</v>
      </c>
      <c r="G209" s="139">
        <f t="shared" si="35"/>
        <v>45565</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0</v>
      </c>
      <c r="G210" s="139">
        <f t="shared" si="35"/>
        <v>45565</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0</v>
      </c>
      <c r="G211" s="139">
        <f t="shared" si="35"/>
        <v>45565</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0</v>
      </c>
      <c r="G212" s="139">
        <f t="shared" si="35"/>
        <v>45565</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0</v>
      </c>
      <c r="G213" s="139">
        <f t="shared" si="35"/>
        <v>45565</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0</v>
      </c>
      <c r="G214" s="139">
        <f t="shared" si="35"/>
        <v>45565</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0</v>
      </c>
      <c r="G215" s="139">
        <f t="shared" si="35"/>
        <v>45565</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0</v>
      </c>
      <c r="G216" s="139">
        <f t="shared" si="35"/>
        <v>45565</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0</v>
      </c>
      <c r="G217" s="139">
        <f t="shared" si="35"/>
        <v>45565</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0</v>
      </c>
      <c r="G218" s="139">
        <f>Datum_Broj</f>
        <v>45565</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0</v>
      </c>
      <c r="G219" s="139">
        <f t="shared" si="35"/>
        <v>45565</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0</v>
      </c>
      <c r="G220" s="139">
        <f t="shared" si="35"/>
        <v>45565</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0</v>
      </c>
      <c r="G221" s="139">
        <f>Datum_Broj</f>
        <v>45565</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0</v>
      </c>
      <c r="G222" s="139">
        <f t="shared" si="35"/>
        <v>45565</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0</v>
      </c>
      <c r="G223" s="139">
        <f t="shared" si="35"/>
        <v>45565</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0</v>
      </c>
      <c r="G224" s="139">
        <f>Datum_Broj</f>
        <v>45565</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0</v>
      </c>
      <c r="G225" s="139">
        <f t="shared" si="35"/>
        <v>45565</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0</v>
      </c>
      <c r="G226" s="139">
        <f t="shared" si="35"/>
        <v>45565</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0</v>
      </c>
      <c r="G227" s="139">
        <f t="shared" si="35"/>
        <v>45565</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0</v>
      </c>
      <c r="G228" s="139">
        <f t="shared" si="35"/>
        <v>45565</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0</v>
      </c>
      <c r="G229" s="139">
        <f t="shared" si="35"/>
        <v>45565</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0</v>
      </c>
      <c r="G230" s="139">
        <f t="shared" si="35"/>
        <v>45565</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0</v>
      </c>
      <c r="G231" s="139">
        <f t="shared" si="35"/>
        <v>45565</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0</v>
      </c>
      <c r="G232" s="139">
        <f t="shared" si="35"/>
        <v>45565</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0</v>
      </c>
      <c r="G233" s="139">
        <f t="shared" si="35"/>
        <v>45565</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0</v>
      </c>
      <c r="G234" s="139">
        <f t="shared" si="35"/>
        <v>45565</v>
      </c>
      <c r="H234" s="105">
        <f>VLOOKUP( $A234, Aop!$A$2:$P$453, 4, 0)</f>
        <v>302</v>
      </c>
      <c r="I234" s="55">
        <f t="shared" si="33"/>
        <v>2024</v>
      </c>
      <c r="J234" s="55" t="str">
        <f t="shared" ca="1" si="38"/>
        <v/>
      </c>
      <c r="K234" s="55"/>
      <c r="L234" s="55"/>
      <c r="M234" s="55">
        <f t="shared" ca="1" si="37"/>
        <v>5093</v>
      </c>
      <c r="N234" s="55">
        <f t="shared" ca="1" si="36"/>
        <v>5093</v>
      </c>
    </row>
    <row r="235" spans="1:14" x14ac:dyDescent="0.2">
      <c r="A235" s="105">
        <v>241</v>
      </c>
      <c r="B235" s="105" t="str">
        <f>VLOOKUP( $A235, Aop!$A$2:$P$453, 2, 0)</f>
        <v>BUa</v>
      </c>
      <c r="C235" s="55">
        <v>27</v>
      </c>
      <c r="D235" s="55" t="str">
        <f t="shared" si="31"/>
        <v>01814788</v>
      </c>
      <c r="E235" s="55" t="str">
        <f t="shared" si="32"/>
        <v>4400570050004</v>
      </c>
      <c r="F235" s="55" t="b">
        <f t="shared" si="34"/>
        <v>0</v>
      </c>
      <c r="G235" s="139">
        <f t="shared" si="35"/>
        <v>45565</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0</v>
      </c>
      <c r="G236" s="139">
        <f t="shared" si="35"/>
        <v>45565</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0</v>
      </c>
      <c r="G237" s="139">
        <f t="shared" si="35"/>
        <v>45565</v>
      </c>
      <c r="H237" s="105">
        <f>VLOOKUP( $A237, Aop!$A$2:$P$453, 4, 0)</f>
        <v>305</v>
      </c>
      <c r="I237" s="55">
        <f t="shared" si="33"/>
        <v>2024</v>
      </c>
      <c r="J237" s="55" t="str">
        <f t="shared" ca="1" si="38"/>
        <v/>
      </c>
      <c r="K237" s="55"/>
      <c r="L237" s="55"/>
      <c r="M237" s="55">
        <f t="shared" ca="1" si="37"/>
        <v>29441594</v>
      </c>
      <c r="N237" s="55">
        <f t="shared" ca="1" si="36"/>
        <v>29441594</v>
      </c>
    </row>
    <row r="238" spans="1:14" x14ac:dyDescent="0.2">
      <c r="A238" s="105">
        <v>244</v>
      </c>
      <c r="B238" s="105" t="str">
        <f>VLOOKUP( $A238, Aop!$A$2:$P$453, 2, 0)</f>
        <v>BUa</v>
      </c>
      <c r="C238" s="55">
        <v>27</v>
      </c>
      <c r="D238" s="55" t="str">
        <f t="shared" si="31"/>
        <v>01814788</v>
      </c>
      <c r="E238" s="55" t="str">
        <f t="shared" si="32"/>
        <v>4400570050004</v>
      </c>
      <c r="F238" s="55" t="b">
        <f t="shared" si="34"/>
        <v>0</v>
      </c>
      <c r="G238" s="139">
        <f t="shared" si="35"/>
        <v>45565</v>
      </c>
      <c r="H238" s="105">
        <f>VLOOKUP( $A238, Aop!$A$2:$P$453, 4, 0)</f>
        <v>306</v>
      </c>
      <c r="I238" s="55">
        <f t="shared" si="33"/>
        <v>2024</v>
      </c>
      <c r="J238" s="55" t="str">
        <f t="shared" ca="1" si="38"/>
        <v/>
      </c>
      <c r="K238" s="55"/>
      <c r="L238" s="55"/>
      <c r="M238" s="55">
        <f t="shared" ca="1" si="37"/>
        <v>26964988</v>
      </c>
      <c r="N238" s="55">
        <f t="shared" ca="1" si="36"/>
        <v>26964988</v>
      </c>
    </row>
    <row r="239" spans="1:14" x14ac:dyDescent="0.2">
      <c r="A239" s="105">
        <v>245</v>
      </c>
      <c r="B239" s="105" t="str">
        <f>VLOOKUP( $A239, Aop!$A$2:$P$453, 2, 0)</f>
        <v>BUa</v>
      </c>
      <c r="C239" s="55">
        <v>27</v>
      </c>
      <c r="D239" s="55" t="str">
        <f t="shared" si="31"/>
        <v>01814788</v>
      </c>
      <c r="E239" s="55" t="str">
        <f t="shared" si="32"/>
        <v>4400570050004</v>
      </c>
      <c r="F239" s="55" t="b">
        <f t="shared" si="34"/>
        <v>0</v>
      </c>
      <c r="G239" s="139">
        <f t="shared" si="35"/>
        <v>45565</v>
      </c>
      <c r="H239" s="105">
        <f>VLOOKUP( $A239, Aop!$A$2:$P$453, 4, 0)</f>
        <v>307</v>
      </c>
      <c r="I239" s="55">
        <f t="shared" si="33"/>
        <v>2024</v>
      </c>
      <c r="J239" s="55" t="str">
        <f t="shared" ca="1" si="38"/>
        <v/>
      </c>
      <c r="K239" s="55"/>
      <c r="L239" s="55"/>
      <c r="M239" s="55">
        <f t="shared" ca="1" si="37"/>
        <v>2476606</v>
      </c>
      <c r="N239" s="55">
        <f t="shared" ca="1" si="36"/>
        <v>2476606</v>
      </c>
    </row>
    <row r="240" spans="1:14" x14ac:dyDescent="0.2">
      <c r="A240" s="105">
        <v>246</v>
      </c>
      <c r="B240" s="105" t="str">
        <f>VLOOKUP( $A240, Aop!$A$2:$P$453, 2, 0)</f>
        <v>BUa</v>
      </c>
      <c r="C240" s="55">
        <v>27</v>
      </c>
      <c r="D240" s="55" t="str">
        <f t="shared" si="31"/>
        <v>01814788</v>
      </c>
      <c r="E240" s="55" t="str">
        <f t="shared" si="32"/>
        <v>4400570050004</v>
      </c>
      <c r="F240" s="55" t="b">
        <f t="shared" si="34"/>
        <v>0</v>
      </c>
      <c r="G240" s="139">
        <f t="shared" si="35"/>
        <v>45565</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0</v>
      </c>
      <c r="G241" s="139">
        <f t="shared" si="35"/>
        <v>45565</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0</v>
      </c>
      <c r="G242" s="139">
        <f t="shared" si="35"/>
        <v>45565</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0</v>
      </c>
      <c r="G243" s="139">
        <f t="shared" si="35"/>
        <v>45565</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0</v>
      </c>
      <c r="G244" s="139">
        <f t="shared" si="35"/>
        <v>45565</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0</v>
      </c>
      <c r="G245" s="139">
        <f t="shared" si="35"/>
        <v>45565</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0</v>
      </c>
      <c r="G246" s="139">
        <f t="shared" si="35"/>
        <v>45565</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0</v>
      </c>
      <c r="G247" s="139">
        <f t="shared" si="35"/>
        <v>45565</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0</v>
      </c>
      <c r="G248" s="139">
        <f>Datum_Broj</f>
        <v>45565</v>
      </c>
      <c r="H248" s="55">
        <f>VLOOKUP( $A248, Aop!$A$2:$P$453, 4, 0)</f>
        <v>316</v>
      </c>
      <c r="I248" s="55">
        <f>Godina</f>
        <v>2024</v>
      </c>
      <c r="J248" s="55" t="str">
        <f t="shared" ca="1" si="38"/>
        <v/>
      </c>
      <c r="K248" s="55"/>
      <c r="L248" s="55"/>
      <c r="M248" s="55">
        <f t="shared" ca="1" si="37"/>
        <v>2476606</v>
      </c>
      <c r="N248" s="55">
        <f t="shared" ca="1" si="36"/>
        <v>2476606</v>
      </c>
    </row>
    <row r="249" spans="1:14" x14ac:dyDescent="0.2">
      <c r="A249" s="105">
        <v>255</v>
      </c>
      <c r="B249" s="105" t="str">
        <f>VLOOKUP( $A249, Aop!$A$2:$P$453, 2, 0)</f>
        <v>BUa</v>
      </c>
      <c r="C249" s="55">
        <v>27</v>
      </c>
      <c r="D249" s="55" t="str">
        <f t="shared" si="31"/>
        <v>01814788</v>
      </c>
      <c r="E249" s="55" t="str">
        <f t="shared" si="32"/>
        <v>4400570050004</v>
      </c>
      <c r="F249" s="55" t="b">
        <f t="shared" si="34"/>
        <v>0</v>
      </c>
      <c r="G249" s="139">
        <f t="shared" si="35"/>
        <v>45565</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0</v>
      </c>
      <c r="G250" s="139">
        <f t="shared" si="35"/>
        <v>45565</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0</v>
      </c>
      <c r="G251" s="139">
        <f>Datum_Broj</f>
        <v>45565</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0</v>
      </c>
      <c r="G252" s="139">
        <f t="shared" si="35"/>
        <v>45565</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0</v>
      </c>
      <c r="G253" s="139">
        <f t="shared" si="35"/>
        <v>45565</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0</v>
      </c>
      <c r="G254" s="139">
        <f t="shared" ref="G254:G311" si="43">Datum_Broj</f>
        <v>45565</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0</v>
      </c>
      <c r="G255" s="139">
        <f t="shared" si="43"/>
        <v>45565</v>
      </c>
      <c r="H255" s="105">
        <f>VLOOKUP( $A255, Aop!$A$2:$P$453, 4, 0)</f>
        <v>323</v>
      </c>
      <c r="I255" s="55">
        <f t="shared" si="41"/>
        <v>2024</v>
      </c>
      <c r="J255" s="55" t="str">
        <f t="shared" ca="1" si="38"/>
        <v/>
      </c>
      <c r="K255" s="55"/>
      <c r="L255" s="55"/>
      <c r="M255" s="55">
        <f t="shared" ca="1" si="37"/>
        <v>414</v>
      </c>
      <c r="N255" s="55">
        <f t="shared" ca="1" si="36"/>
        <v>414</v>
      </c>
    </row>
    <row r="256" spans="1:14" x14ac:dyDescent="0.2">
      <c r="A256" s="105">
        <v>262</v>
      </c>
      <c r="B256" s="105" t="str">
        <f>VLOOKUP( $A256, Aop!$A$2:$P$453, 2, 0)</f>
        <v>BUa</v>
      </c>
      <c r="C256" s="55">
        <v>27</v>
      </c>
      <c r="D256" s="55" t="str">
        <f t="shared" si="39"/>
        <v>01814788</v>
      </c>
      <c r="E256" s="55" t="str">
        <f t="shared" si="40"/>
        <v>4400570050004</v>
      </c>
      <c r="F256" s="55" t="b">
        <f t="shared" si="42"/>
        <v>0</v>
      </c>
      <c r="G256" s="139">
        <f t="shared" si="43"/>
        <v>45565</v>
      </c>
      <c r="H256" s="105">
        <f>VLOOKUP( $A256, Aop!$A$2:$P$453, 4, 0)</f>
        <v>324</v>
      </c>
      <c r="I256" s="55">
        <f t="shared" si="41"/>
        <v>2024</v>
      </c>
      <c r="J256" s="55" t="str">
        <f t="shared" ca="1" si="38"/>
        <v/>
      </c>
      <c r="K256" s="55"/>
      <c r="L256" s="55"/>
      <c r="M256" s="55">
        <f t="shared" ca="1" si="37"/>
        <v>408</v>
      </c>
      <c r="N256" s="55">
        <f t="shared" ca="1" si="36"/>
        <v>408</v>
      </c>
    </row>
    <row r="257" spans="1:14" x14ac:dyDescent="0.2">
      <c r="A257" s="105">
        <v>263</v>
      </c>
      <c r="B257" s="105" t="str">
        <f>VLOOKUP( $A257, Aop!$A$2:$P$453, 2, 0)</f>
        <v>BUb</v>
      </c>
      <c r="C257" s="55">
        <v>27</v>
      </c>
      <c r="D257" s="55" t="str">
        <f t="shared" si="39"/>
        <v>01814788</v>
      </c>
      <c r="E257" s="55" t="str">
        <f t="shared" si="40"/>
        <v>4400570050004</v>
      </c>
      <c r="F257" s="55" t="b">
        <f t="shared" si="42"/>
        <v>0</v>
      </c>
      <c r="G257" s="139">
        <f t="shared" si="43"/>
        <v>45565</v>
      </c>
      <c r="H257" s="105">
        <f>VLOOKUP( $A257, Aop!$A$2:$P$453, 4, 0)</f>
        <v>400</v>
      </c>
      <c r="I257" s="55">
        <f t="shared" si="41"/>
        <v>2024</v>
      </c>
      <c r="J257" s="55" t="str">
        <f t="shared" ca="1" si="38"/>
        <v/>
      </c>
      <c r="K257" s="55"/>
      <c r="L257" s="55"/>
      <c r="M257" s="55">
        <f t="shared" ca="1" si="37"/>
        <v>2476606</v>
      </c>
      <c r="N257" s="55">
        <f t="shared" ca="1" si="36"/>
        <v>2476606</v>
      </c>
    </row>
    <row r="258" spans="1:14" x14ac:dyDescent="0.2">
      <c r="A258" s="105">
        <v>264</v>
      </c>
      <c r="B258" s="105" t="str">
        <f>VLOOKUP( $A258, Aop!$A$2:$P$453, 2, 0)</f>
        <v>BUb</v>
      </c>
      <c r="C258" s="55">
        <v>27</v>
      </c>
      <c r="D258" s="55" t="str">
        <f t="shared" si="39"/>
        <v>01814788</v>
      </c>
      <c r="E258" s="55" t="str">
        <f t="shared" si="40"/>
        <v>4400570050004</v>
      </c>
      <c r="F258" s="55" t="b">
        <f t="shared" si="42"/>
        <v>0</v>
      </c>
      <c r="G258" s="139">
        <f t="shared" si="43"/>
        <v>45565</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0</v>
      </c>
      <c r="G259" s="139">
        <f t="shared" si="43"/>
        <v>45565</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0</v>
      </c>
      <c r="G260" s="139">
        <f t="shared" si="43"/>
        <v>45565</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0</v>
      </c>
      <c r="G261" s="139">
        <f t="shared" si="43"/>
        <v>45565</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0</v>
      </c>
      <c r="G262" s="139">
        <f t="shared" si="43"/>
        <v>45565</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0</v>
      </c>
      <c r="G263" s="139">
        <f t="shared" si="43"/>
        <v>45565</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0</v>
      </c>
      <c r="G264" s="139">
        <f t="shared" si="43"/>
        <v>45565</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0</v>
      </c>
      <c r="G265" s="139">
        <f t="shared" si="43"/>
        <v>45565</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0</v>
      </c>
      <c r="G266" s="139">
        <f t="shared" si="43"/>
        <v>45565</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0</v>
      </c>
      <c r="G267" s="139">
        <f t="shared" si="43"/>
        <v>45565</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0</v>
      </c>
      <c r="G268" s="139">
        <f t="shared" si="43"/>
        <v>45565</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0</v>
      </c>
      <c r="G269" s="139">
        <f t="shared" si="43"/>
        <v>45565</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0</v>
      </c>
      <c r="G270" s="139">
        <f t="shared" si="43"/>
        <v>45565</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0</v>
      </c>
      <c r="G271" s="139">
        <f t="shared" si="43"/>
        <v>45565</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0</v>
      </c>
      <c r="G272" s="139">
        <f t="shared" si="43"/>
        <v>45565</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2476606</v>
      </c>
      <c r="N272" s="55">
        <f t="shared" ca="1" si="44"/>
        <v>2476606</v>
      </c>
    </row>
    <row r="273" spans="1:14" x14ac:dyDescent="0.2">
      <c r="A273" s="105">
        <v>281</v>
      </c>
      <c r="B273" s="105" t="str">
        <f>VLOOKUP( $A273, Aop!$A$2:$P$453, 2, 0)</f>
        <v>BUb</v>
      </c>
      <c r="C273" s="55">
        <v>27</v>
      </c>
      <c r="D273" s="55" t="str">
        <f t="shared" si="39"/>
        <v>01814788</v>
      </c>
      <c r="E273" s="55" t="str">
        <f t="shared" si="40"/>
        <v>4400570050004</v>
      </c>
      <c r="F273" s="55" t="b">
        <f t="shared" si="42"/>
        <v>0</v>
      </c>
      <c r="G273" s="139">
        <f t="shared" si="43"/>
        <v>45565</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0</v>
      </c>
      <c r="G274" s="139">
        <f>Datum_Broj</f>
        <v>45565</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0</v>
      </c>
      <c r="G275" s="139">
        <f t="shared" si="43"/>
        <v>45565</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0</v>
      </c>
      <c r="G276" s="139">
        <f t="shared" si="43"/>
        <v>45565</v>
      </c>
      <c r="H276" s="105">
        <f>VLOOKUP( $A276, Aop!$A$2:$P$453, 4, 0)</f>
        <v>502</v>
      </c>
      <c r="I276" s="55">
        <f t="shared" si="41"/>
        <v>2024</v>
      </c>
      <c r="J276" s="55" t="str">
        <f t="shared" ca="1" si="46"/>
        <v/>
      </c>
      <c r="K276" s="55"/>
      <c r="L276" s="55"/>
      <c r="M276" s="55">
        <f t="shared" ca="1" si="47"/>
        <v>29506182</v>
      </c>
      <c r="N276" s="55">
        <f t="shared" ca="1" si="44"/>
        <v>29506182</v>
      </c>
    </row>
    <row r="277" spans="1:14" x14ac:dyDescent="0.2">
      <c r="A277" s="105">
        <v>286</v>
      </c>
      <c r="B277" s="105" t="str">
        <f>VLOOKUP( $A277, Aop!$A$2:$P$453, 2, 0)</f>
        <v>BTG</v>
      </c>
      <c r="C277" s="55">
        <v>29</v>
      </c>
      <c r="D277" s="55" t="str">
        <f t="shared" si="39"/>
        <v>01814788</v>
      </c>
      <c r="E277" s="55" t="str">
        <f t="shared" si="40"/>
        <v>4400570050004</v>
      </c>
      <c r="F277" s="55" t="b">
        <f t="shared" si="42"/>
        <v>0</v>
      </c>
      <c r="G277" s="139">
        <f t="shared" si="43"/>
        <v>45565</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0</v>
      </c>
      <c r="G278" s="139">
        <f t="shared" si="43"/>
        <v>45565</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0</v>
      </c>
      <c r="G279" s="139">
        <f t="shared" si="43"/>
        <v>45565</v>
      </c>
      <c r="H279" s="105">
        <f>VLOOKUP( $A279, Aop!$A$2:$P$453, 4, 0)</f>
        <v>505</v>
      </c>
      <c r="I279" s="55">
        <f t="shared" si="41"/>
        <v>2024</v>
      </c>
      <c r="J279" s="55" t="str">
        <f t="shared" ca="1" si="46"/>
        <v/>
      </c>
      <c r="K279" s="55"/>
      <c r="L279" s="55"/>
      <c r="M279" s="55">
        <f t="shared" ca="1" si="47"/>
        <v>226337</v>
      </c>
      <c r="N279" s="55">
        <f t="shared" ca="1" si="44"/>
        <v>226337</v>
      </c>
    </row>
    <row r="280" spans="1:14" x14ac:dyDescent="0.2">
      <c r="A280" s="105">
        <v>289</v>
      </c>
      <c r="B280" s="105" t="str">
        <f>VLOOKUP( $A280, Aop!$A$2:$P$453, 2, 0)</f>
        <v>BTG</v>
      </c>
      <c r="C280" s="55">
        <v>29</v>
      </c>
      <c r="D280" s="55" t="str">
        <f t="shared" si="39"/>
        <v>01814788</v>
      </c>
      <c r="E280" s="55" t="str">
        <f t="shared" si="40"/>
        <v>4400570050004</v>
      </c>
      <c r="F280" s="55" t="b">
        <f t="shared" si="42"/>
        <v>0</v>
      </c>
      <c r="G280" s="139">
        <f t="shared" si="43"/>
        <v>45565</v>
      </c>
      <c r="H280" s="105">
        <f>VLOOKUP( $A280, Aop!$A$2:$P$453, 4, 0)</f>
        <v>506</v>
      </c>
      <c r="I280" s="55">
        <f t="shared" si="41"/>
        <v>2024</v>
      </c>
      <c r="J280" s="55" t="str">
        <f t="shared" ca="1" si="46"/>
        <v/>
      </c>
      <c r="K280" s="55"/>
      <c r="L280" s="55"/>
      <c r="M280" s="55">
        <f t="shared" ca="1" si="47"/>
        <v>25477182</v>
      </c>
      <c r="N280" s="55">
        <f t="shared" ca="1" si="44"/>
        <v>25477182</v>
      </c>
    </row>
    <row r="281" spans="1:14" x14ac:dyDescent="0.2">
      <c r="A281" s="105">
        <v>290</v>
      </c>
      <c r="B281" s="105" t="str">
        <f>VLOOKUP( $A281, Aop!$A$2:$P$453, 2, 0)</f>
        <v>BTG</v>
      </c>
      <c r="C281" s="55">
        <v>29</v>
      </c>
      <c r="D281" s="55" t="str">
        <f t="shared" si="39"/>
        <v>01814788</v>
      </c>
      <c r="E281" s="55" t="str">
        <f t="shared" si="40"/>
        <v>4400570050004</v>
      </c>
      <c r="F281" s="55" t="b">
        <f t="shared" si="42"/>
        <v>0</v>
      </c>
      <c r="G281" s="139">
        <f t="shared" si="43"/>
        <v>45565</v>
      </c>
      <c r="H281" s="105">
        <f>VLOOKUP( $A281, Aop!$A$2:$P$453, 4, 0)</f>
        <v>507</v>
      </c>
      <c r="I281" s="55">
        <f t="shared" si="41"/>
        <v>2024</v>
      </c>
      <c r="J281" s="55" t="str">
        <f t="shared" ca="1" si="46"/>
        <v/>
      </c>
      <c r="K281" s="55"/>
      <c r="L281" s="55"/>
      <c r="M281" s="55">
        <f t="shared" ca="1" si="47"/>
        <v>11888293</v>
      </c>
      <c r="N281" s="55">
        <f t="shared" ca="1" si="44"/>
        <v>11888293</v>
      </c>
    </row>
    <row r="282" spans="1:14" x14ac:dyDescent="0.2">
      <c r="A282" s="105">
        <v>291</v>
      </c>
      <c r="B282" s="105" t="str">
        <f>VLOOKUP( $A282, Aop!$A$2:$P$453, 2, 0)</f>
        <v>BTG</v>
      </c>
      <c r="C282" s="55">
        <v>29</v>
      </c>
      <c r="D282" s="55" t="str">
        <f t="shared" si="39"/>
        <v>01814788</v>
      </c>
      <c r="E282" s="55" t="str">
        <f t="shared" si="40"/>
        <v>4400570050004</v>
      </c>
      <c r="F282" s="55" t="b">
        <f t="shared" si="42"/>
        <v>0</v>
      </c>
      <c r="G282" s="139">
        <f t="shared" si="43"/>
        <v>45565</v>
      </c>
      <c r="H282" s="105">
        <f>VLOOKUP( $A282, Aop!$A$2:$P$453, 4, 0)</f>
        <v>508</v>
      </c>
      <c r="I282" s="55">
        <f t="shared" si="41"/>
        <v>2024</v>
      </c>
      <c r="J282" s="55" t="str">
        <f t="shared" ca="1" si="46"/>
        <v/>
      </c>
      <c r="K282" s="55"/>
      <c r="L282" s="55"/>
      <c r="M282" s="55">
        <f t="shared" ca="1" si="47"/>
        <v>94700</v>
      </c>
      <c r="N282" s="55">
        <f t="shared" ca="1" si="44"/>
        <v>94700</v>
      </c>
    </row>
    <row r="283" spans="1:14" x14ac:dyDescent="0.2">
      <c r="A283" s="105">
        <v>292</v>
      </c>
      <c r="B283" s="105" t="str">
        <f>VLOOKUP( $A283, Aop!$A$2:$P$453, 2, 0)</f>
        <v>BTG</v>
      </c>
      <c r="C283" s="55">
        <v>29</v>
      </c>
      <c r="D283" s="55" t="str">
        <f t="shared" si="39"/>
        <v>01814788</v>
      </c>
      <c r="E283" s="55" t="str">
        <f t="shared" si="40"/>
        <v>4400570050004</v>
      </c>
      <c r="F283" s="55" t="b">
        <f t="shared" si="42"/>
        <v>0</v>
      </c>
      <c r="G283" s="139">
        <f t="shared" si="43"/>
        <v>45565</v>
      </c>
      <c r="H283" s="105">
        <f>VLOOKUP( $A283, Aop!$A$2:$P$453, 4, 0)</f>
        <v>509</v>
      </c>
      <c r="I283" s="55">
        <f t="shared" si="41"/>
        <v>2024</v>
      </c>
      <c r="J283" s="55" t="str">
        <f t="shared" ca="1" si="46"/>
        <v/>
      </c>
      <c r="K283" s="55"/>
      <c r="L283" s="55"/>
      <c r="M283" s="55">
        <f t="shared" ca="1" si="47"/>
        <v>201548</v>
      </c>
      <c r="N283" s="55">
        <f t="shared" ca="1" si="44"/>
        <v>201548</v>
      </c>
    </row>
    <row r="284" spans="1:14" x14ac:dyDescent="0.2">
      <c r="A284" s="105">
        <v>293</v>
      </c>
      <c r="B284" s="105" t="str">
        <f>VLOOKUP( $A284, Aop!$A$2:$P$453, 2, 0)</f>
        <v>BTG</v>
      </c>
      <c r="C284" s="55">
        <v>29</v>
      </c>
      <c r="D284" s="55" t="str">
        <f t="shared" si="39"/>
        <v>01814788</v>
      </c>
      <c r="E284" s="55" t="str">
        <f t="shared" si="40"/>
        <v>4400570050004</v>
      </c>
      <c r="F284" s="55" t="b">
        <f t="shared" si="42"/>
        <v>0</v>
      </c>
      <c r="G284" s="139">
        <f t="shared" si="43"/>
        <v>45565</v>
      </c>
      <c r="H284" s="105">
        <f>VLOOKUP( $A284, Aop!$A$2:$P$453, 4, 0)</f>
        <v>510</v>
      </c>
      <c r="I284" s="55">
        <f t="shared" si="41"/>
        <v>2024</v>
      </c>
      <c r="J284" s="55" t="str">
        <f t="shared" ca="1" si="46"/>
        <v/>
      </c>
      <c r="K284" s="55"/>
      <c r="L284" s="55"/>
      <c r="M284" s="55">
        <f t="shared" ca="1" si="47"/>
        <v>10849926</v>
      </c>
      <c r="N284" s="55">
        <f t="shared" ca="1" si="44"/>
        <v>10849926</v>
      </c>
    </row>
    <row r="285" spans="1:14" x14ac:dyDescent="0.2">
      <c r="A285" s="105">
        <v>294</v>
      </c>
      <c r="B285" s="105" t="str">
        <f>VLOOKUP( $A285, Aop!$A$2:$P$453, 2, 0)</f>
        <v>BTG</v>
      </c>
      <c r="C285" s="55">
        <v>29</v>
      </c>
      <c r="D285" s="55" t="str">
        <f t="shared" si="39"/>
        <v>01814788</v>
      </c>
      <c r="E285" s="55" t="str">
        <f t="shared" si="40"/>
        <v>4400570050004</v>
      </c>
      <c r="F285" s="55" t="b">
        <f t="shared" si="42"/>
        <v>0</v>
      </c>
      <c r="G285" s="139">
        <f t="shared" si="43"/>
        <v>45565</v>
      </c>
      <c r="H285" s="105">
        <f>VLOOKUP( $A285, Aop!$A$2:$P$453, 4, 0)</f>
        <v>511</v>
      </c>
      <c r="I285" s="55">
        <f t="shared" si="41"/>
        <v>2024</v>
      </c>
      <c r="J285" s="55" t="str">
        <f t="shared" ca="1" si="46"/>
        <v/>
      </c>
      <c r="K285" s="55"/>
      <c r="L285" s="55"/>
      <c r="M285" s="55">
        <f t="shared" ca="1" si="47"/>
        <v>169948</v>
      </c>
      <c r="N285" s="55">
        <f t="shared" ca="1" si="44"/>
        <v>169948</v>
      </c>
    </row>
    <row r="286" spans="1:14" x14ac:dyDescent="0.2">
      <c r="A286" s="105">
        <v>295</v>
      </c>
      <c r="B286" s="105" t="str">
        <f>VLOOKUP( $A286, Aop!$A$2:$P$453, 2, 0)</f>
        <v>BTG</v>
      </c>
      <c r="C286" s="55">
        <v>29</v>
      </c>
      <c r="D286" s="55" t="str">
        <f t="shared" si="39"/>
        <v>01814788</v>
      </c>
      <c r="E286" s="55" t="str">
        <f t="shared" si="40"/>
        <v>4400570050004</v>
      </c>
      <c r="F286" s="55" t="b">
        <f t="shared" si="42"/>
        <v>0</v>
      </c>
      <c r="G286" s="139">
        <f t="shared" si="43"/>
        <v>45565</v>
      </c>
      <c r="H286" s="105">
        <f>VLOOKUP( $A286, Aop!$A$2:$P$453, 4, 0)</f>
        <v>512</v>
      </c>
      <c r="I286" s="55">
        <f t="shared" si="41"/>
        <v>2024</v>
      </c>
      <c r="J286" s="55" t="str">
        <f t="shared" ca="1" si="46"/>
        <v/>
      </c>
      <c r="K286" s="55"/>
      <c r="L286" s="55"/>
      <c r="M286" s="55">
        <f t="shared" ca="1" si="47"/>
        <v>2272767</v>
      </c>
      <c r="N286" s="55">
        <f t="shared" ca="1" si="44"/>
        <v>2272767</v>
      </c>
    </row>
    <row r="287" spans="1:14" x14ac:dyDescent="0.2">
      <c r="A287" s="105">
        <v>296</v>
      </c>
      <c r="B287" s="105" t="str">
        <f>VLOOKUP( $A287, Aop!$A$2:$P$453, 2, 0)</f>
        <v>BTG</v>
      </c>
      <c r="C287" s="55">
        <v>29</v>
      </c>
      <c r="D287" s="55" t="str">
        <f t="shared" si="39"/>
        <v>01814788</v>
      </c>
      <c r="E287" s="55" t="str">
        <f t="shared" si="40"/>
        <v>4400570050004</v>
      </c>
      <c r="F287" s="55" t="b">
        <f t="shared" si="42"/>
        <v>0</v>
      </c>
      <c r="G287" s="139">
        <f t="shared" si="43"/>
        <v>45565</v>
      </c>
      <c r="H287" s="105">
        <f>VLOOKUP( $A287, Aop!$A$2:$P$453, 4, 0)</f>
        <v>513</v>
      </c>
      <c r="I287" s="55">
        <f t="shared" si="41"/>
        <v>2024</v>
      </c>
      <c r="J287" s="55" t="str">
        <f t="shared" ca="1" si="46"/>
        <v/>
      </c>
      <c r="K287" s="55"/>
      <c r="L287" s="55"/>
      <c r="M287" s="55">
        <f t="shared" ca="1" si="47"/>
        <v>4255337</v>
      </c>
      <c r="N287" s="55">
        <f t="shared" ca="1" si="44"/>
        <v>4255337</v>
      </c>
    </row>
    <row r="288" spans="1:14" x14ac:dyDescent="0.2">
      <c r="A288" s="105">
        <v>297</v>
      </c>
      <c r="B288" s="105" t="str">
        <f>VLOOKUP( $A288, Aop!$A$2:$P$453, 2, 0)</f>
        <v>BTG</v>
      </c>
      <c r="C288" s="55">
        <v>29</v>
      </c>
      <c r="D288" s="55" t="str">
        <f t="shared" si="39"/>
        <v>01814788</v>
      </c>
      <c r="E288" s="55" t="str">
        <f t="shared" si="40"/>
        <v>4400570050004</v>
      </c>
      <c r="F288" s="55" t="b">
        <f t="shared" si="42"/>
        <v>0</v>
      </c>
      <c r="G288" s="139">
        <f t="shared" si="43"/>
        <v>45565</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0</v>
      </c>
      <c r="G289" s="139">
        <f t="shared" si="43"/>
        <v>45565</v>
      </c>
      <c r="H289" s="105">
        <f>VLOOKUP( $A289, Aop!$A$2:$P$453, 4, 0)</f>
        <v>515</v>
      </c>
      <c r="I289" s="55">
        <f t="shared" si="41"/>
        <v>2024</v>
      </c>
      <c r="J289" s="55" t="str">
        <f t="shared" ca="1" si="46"/>
        <v/>
      </c>
      <c r="K289" s="55"/>
      <c r="L289" s="55"/>
      <c r="M289" s="55">
        <f t="shared" ca="1" si="47"/>
        <v>18655</v>
      </c>
      <c r="N289" s="55">
        <f t="shared" ca="1" si="44"/>
        <v>18655</v>
      </c>
    </row>
    <row r="290" spans="1:14" x14ac:dyDescent="0.2">
      <c r="A290" s="105">
        <v>300</v>
      </c>
      <c r="B290" s="105" t="str">
        <f>VLOOKUP( $A290, Aop!$A$2:$P$453, 2, 0)</f>
        <v>BTG</v>
      </c>
      <c r="C290" s="55">
        <v>29</v>
      </c>
      <c r="D290" s="55" t="str">
        <f t="shared" si="39"/>
        <v>01814788</v>
      </c>
      <c r="E290" s="55" t="str">
        <f t="shared" si="40"/>
        <v>4400570050004</v>
      </c>
      <c r="F290" s="55" t="b">
        <f t="shared" si="42"/>
        <v>0</v>
      </c>
      <c r="G290" s="139">
        <f t="shared" si="43"/>
        <v>45565</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0</v>
      </c>
      <c r="G291" s="139">
        <f t="shared" si="43"/>
        <v>45565</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0</v>
      </c>
      <c r="G292" s="139">
        <f t="shared" si="43"/>
        <v>45565</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0</v>
      </c>
      <c r="G293" s="139">
        <f t="shared" si="43"/>
        <v>45565</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0</v>
      </c>
      <c r="G294" s="139">
        <f t="shared" si="43"/>
        <v>45565</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0</v>
      </c>
      <c r="G295" s="139">
        <f t="shared" si="43"/>
        <v>45565</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0</v>
      </c>
      <c r="G296" s="139">
        <f t="shared" si="43"/>
        <v>45565</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0</v>
      </c>
      <c r="G297" s="139">
        <f t="shared" si="43"/>
        <v>45565</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0</v>
      </c>
      <c r="G298" s="139">
        <f t="shared" si="43"/>
        <v>45565</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0</v>
      </c>
      <c r="G299" s="139">
        <f t="shared" si="43"/>
        <v>45565</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0</v>
      </c>
      <c r="G300" s="139">
        <f t="shared" si="43"/>
        <v>45565</v>
      </c>
      <c r="H300" s="105">
        <f>VLOOKUP( $A300, Aop!$A$2:$P$453, 4, 0)</f>
        <v>527</v>
      </c>
      <c r="I300" s="55">
        <f t="shared" si="41"/>
        <v>2024</v>
      </c>
      <c r="J300" s="55" t="str">
        <f t="shared" ca="1" si="46"/>
        <v/>
      </c>
      <c r="K300" s="55"/>
      <c r="L300" s="55"/>
      <c r="M300" s="55">
        <f t="shared" ca="1" si="47"/>
        <v>18655</v>
      </c>
      <c r="N300" s="55">
        <f t="shared" ca="1" si="44"/>
        <v>18655</v>
      </c>
    </row>
    <row r="301" spans="1:14" x14ac:dyDescent="0.2">
      <c r="A301" s="105">
        <v>311</v>
      </c>
      <c r="B301" s="105" t="str">
        <f>VLOOKUP( $A301, Aop!$A$2:$P$453, 2, 0)</f>
        <v>BTG</v>
      </c>
      <c r="C301" s="55">
        <v>29</v>
      </c>
      <c r="D301" s="55" t="str">
        <f t="shared" si="39"/>
        <v>01814788</v>
      </c>
      <c r="E301" s="55" t="str">
        <f t="shared" si="40"/>
        <v>4400570050004</v>
      </c>
      <c r="F301" s="55" t="b">
        <f t="shared" si="42"/>
        <v>0</v>
      </c>
      <c r="G301" s="139">
        <f t="shared" si="43"/>
        <v>45565</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0</v>
      </c>
      <c r="G302" s="139">
        <f t="shared" si="43"/>
        <v>45565</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0</v>
      </c>
      <c r="G303" s="139">
        <f t="shared" si="43"/>
        <v>45565</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0</v>
      </c>
      <c r="G304" s="139">
        <f t="shared" si="43"/>
        <v>45565</v>
      </c>
      <c r="H304" s="105">
        <f>VLOOKUP( $A304, Aop!$A$2:$P$453, 4, 0)</f>
        <v>531</v>
      </c>
      <c r="I304" s="55">
        <f t="shared" si="41"/>
        <v>2024</v>
      </c>
      <c r="J304" s="55" t="str">
        <f t="shared" ca="1" si="46"/>
        <v/>
      </c>
      <c r="K304" s="55"/>
      <c r="L304" s="55"/>
      <c r="M304" s="55">
        <f t="shared" ca="1" si="47"/>
        <v>3594024</v>
      </c>
      <c r="N304" s="55">
        <f t="shared" ca="1" si="44"/>
        <v>3594024</v>
      </c>
    </row>
    <row r="305" spans="1:14" x14ac:dyDescent="0.2">
      <c r="A305" s="105">
        <v>315</v>
      </c>
      <c r="B305" s="105" t="str">
        <f>VLOOKUP( $A305, Aop!$A$2:$P$453, 2, 0)</f>
        <v>BTG</v>
      </c>
      <c r="C305" s="55">
        <v>29</v>
      </c>
      <c r="D305" s="55" t="str">
        <f t="shared" si="39"/>
        <v>01814788</v>
      </c>
      <c r="E305" s="55" t="str">
        <f t="shared" si="40"/>
        <v>4400570050004</v>
      </c>
      <c r="F305" s="55" t="b">
        <f t="shared" si="42"/>
        <v>0</v>
      </c>
      <c r="G305" s="139">
        <f t="shared" si="43"/>
        <v>45565</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0</v>
      </c>
      <c r="G306" s="139">
        <f t="shared" si="43"/>
        <v>45565</v>
      </c>
      <c r="H306" s="105">
        <f>VLOOKUP( $A306, Aop!$A$2:$P$453, 4, 0)</f>
        <v>533</v>
      </c>
      <c r="I306" s="55">
        <f t="shared" si="41"/>
        <v>2024</v>
      </c>
      <c r="J306" s="55" t="str">
        <f t="shared" ca="1" si="46"/>
        <v/>
      </c>
      <c r="K306" s="55"/>
      <c r="L306" s="55"/>
      <c r="M306" s="55">
        <f t="shared" ca="1" si="47"/>
        <v>3594024</v>
      </c>
      <c r="N306" s="55">
        <f t="shared" ca="1" si="44"/>
        <v>3594024</v>
      </c>
    </row>
    <row r="307" spans="1:14" x14ac:dyDescent="0.2">
      <c r="A307" s="105">
        <v>317</v>
      </c>
      <c r="B307" s="105" t="str">
        <f>VLOOKUP( $A307, Aop!$A$2:$P$453, 2, 0)</f>
        <v>BTG</v>
      </c>
      <c r="C307" s="55">
        <v>29</v>
      </c>
      <c r="D307" s="55" t="str">
        <f t="shared" si="39"/>
        <v>01814788</v>
      </c>
      <c r="E307" s="55" t="str">
        <f t="shared" si="40"/>
        <v>4400570050004</v>
      </c>
      <c r="F307" s="55" t="b">
        <f t="shared" si="42"/>
        <v>0</v>
      </c>
      <c r="G307" s="139">
        <f t="shared" si="43"/>
        <v>45565</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0</v>
      </c>
      <c r="G308" s="139">
        <f t="shared" si="43"/>
        <v>45565</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0</v>
      </c>
      <c r="G309" s="139">
        <f t="shared" si="43"/>
        <v>45565</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0</v>
      </c>
      <c r="G310" s="139">
        <f t="shared" si="43"/>
        <v>45565</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0</v>
      </c>
      <c r="G311" s="139">
        <f t="shared" si="43"/>
        <v>45565</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0</v>
      </c>
      <c r="G312" s="139">
        <f t="shared" ref="G312:G356" si="52">Datum_Broj</f>
        <v>45565</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0</v>
      </c>
      <c r="G313" s="139">
        <f t="shared" si="52"/>
        <v>45565</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0</v>
      </c>
      <c r="G314" s="139">
        <f t="shared" si="52"/>
        <v>45565</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0</v>
      </c>
      <c r="G315" s="139">
        <f t="shared" si="52"/>
        <v>45565</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0</v>
      </c>
      <c r="G316" s="139">
        <f t="shared" si="52"/>
        <v>45565</v>
      </c>
      <c r="H316" s="105">
        <f>VLOOKUP( $A316, Aop!$A$2:$P$453, 4, 0)</f>
        <v>543</v>
      </c>
      <c r="I316" s="55">
        <f t="shared" si="50"/>
        <v>2024</v>
      </c>
      <c r="J316" s="55" t="str">
        <f t="shared" ca="1" si="46"/>
        <v/>
      </c>
      <c r="K316" s="55"/>
      <c r="L316" s="55"/>
      <c r="M316" s="55">
        <f t="shared" ca="1" si="47"/>
        <v>3575369</v>
      </c>
      <c r="N316" s="55">
        <f t="shared" ca="1" si="44"/>
        <v>3575369</v>
      </c>
    </row>
    <row r="317" spans="1:14" x14ac:dyDescent="0.2">
      <c r="A317" s="105">
        <v>327</v>
      </c>
      <c r="B317" s="105" t="str">
        <f>VLOOKUP( $A317, Aop!$A$2:$P$453, 2, 0)</f>
        <v>BTG</v>
      </c>
      <c r="C317" s="55">
        <v>29</v>
      </c>
      <c r="D317" s="55" t="str">
        <f t="shared" si="48"/>
        <v>01814788</v>
      </c>
      <c r="E317" s="55" t="str">
        <f t="shared" si="49"/>
        <v>4400570050004</v>
      </c>
      <c r="F317" s="55" t="b">
        <f t="shared" si="51"/>
        <v>0</v>
      </c>
      <c r="G317" s="139">
        <f t="shared" si="52"/>
        <v>45565</v>
      </c>
      <c r="H317" s="105">
        <f>VLOOKUP( $A317, Aop!$A$2:$P$453, 4, 0)</f>
        <v>544</v>
      </c>
      <c r="I317" s="55">
        <f t="shared" si="50"/>
        <v>2024</v>
      </c>
      <c r="J317" s="55" t="str">
        <f t="shared" ca="1" si="46"/>
        <v/>
      </c>
      <c r="K317" s="55"/>
      <c r="L317" s="55"/>
      <c r="M317" s="55">
        <f t="shared" ca="1" si="47"/>
        <v>47466</v>
      </c>
      <c r="N317" s="55">
        <f t="shared" ca="1" si="44"/>
        <v>47466</v>
      </c>
    </row>
    <row r="318" spans="1:14" x14ac:dyDescent="0.2">
      <c r="A318" s="105">
        <v>328</v>
      </c>
      <c r="B318" s="105" t="str">
        <f>VLOOKUP( $A318, Aop!$A$2:$P$453, 2, 0)</f>
        <v>BTG</v>
      </c>
      <c r="C318" s="55">
        <v>29</v>
      </c>
      <c r="D318" s="55" t="str">
        <f t="shared" si="48"/>
        <v>01814788</v>
      </c>
      <c r="E318" s="55" t="str">
        <f t="shared" si="49"/>
        <v>4400570050004</v>
      </c>
      <c r="F318" s="55" t="b">
        <f t="shared" si="51"/>
        <v>0</v>
      </c>
      <c r="G318" s="139">
        <f t="shared" si="52"/>
        <v>45565</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0</v>
      </c>
      <c r="G319" s="139">
        <f t="shared" si="52"/>
        <v>45565</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0</v>
      </c>
      <c r="G320" s="139">
        <f t="shared" si="52"/>
        <v>45565</v>
      </c>
      <c r="H320" s="105">
        <f>VLOOKUP( $A320, Aop!$A$2:$P$453, 4, 0)</f>
        <v>547</v>
      </c>
      <c r="I320" s="55">
        <f t="shared" si="50"/>
        <v>2024</v>
      </c>
      <c r="J320" s="55" t="str">
        <f t="shared" ca="1" si="46"/>
        <v/>
      </c>
      <c r="K320" s="55"/>
      <c r="L320" s="55"/>
      <c r="M320" s="55">
        <f t="shared" ca="1" si="47"/>
        <v>47466</v>
      </c>
      <c r="N320" s="55">
        <f t="shared" ca="1" si="44"/>
        <v>47466</v>
      </c>
    </row>
    <row r="321" spans="1:14" x14ac:dyDescent="0.2">
      <c r="A321" s="105">
        <v>331</v>
      </c>
      <c r="B321" s="105" t="str">
        <f>VLOOKUP( $A321, Aop!$A$2:$P$453, 2, 0)</f>
        <v>BTG</v>
      </c>
      <c r="C321" s="55">
        <v>29</v>
      </c>
      <c r="D321" s="55" t="str">
        <f t="shared" si="48"/>
        <v>01814788</v>
      </c>
      <c r="E321" s="55" t="str">
        <f t="shared" si="49"/>
        <v>4400570050004</v>
      </c>
      <c r="F321" s="55" t="b">
        <f t="shared" si="51"/>
        <v>0</v>
      </c>
      <c r="G321" s="139">
        <f t="shared" si="52"/>
        <v>45565</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0</v>
      </c>
      <c r="G322" s="139">
        <f t="shared" si="52"/>
        <v>45565</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0</v>
      </c>
      <c r="G323" s="139">
        <f t="shared" si="52"/>
        <v>45565</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0</v>
      </c>
      <c r="G324" s="139">
        <f t="shared" si="52"/>
        <v>45565</v>
      </c>
      <c r="H324" s="105">
        <f>VLOOKUP( $A324, Aop!$A$2:$P$453, 4, 0)</f>
        <v>551</v>
      </c>
      <c r="I324" s="55">
        <f t="shared" si="50"/>
        <v>2024</v>
      </c>
      <c r="J324" s="55" t="str">
        <f t="shared" ca="1" si="46"/>
        <v/>
      </c>
      <c r="K324" s="55"/>
      <c r="L324" s="55"/>
      <c r="M324" s="55">
        <f t="shared" ca="1" si="47"/>
        <v>1650775</v>
      </c>
      <c r="N324" s="55">
        <f t="shared" ca="1" si="53"/>
        <v>1650775</v>
      </c>
    </row>
    <row r="325" spans="1:14" x14ac:dyDescent="0.2">
      <c r="A325" s="105">
        <v>335</v>
      </c>
      <c r="B325" s="105" t="str">
        <f>VLOOKUP( $A325, Aop!$A$2:$P$453, 2, 0)</f>
        <v>BTG</v>
      </c>
      <c r="C325" s="55">
        <v>29</v>
      </c>
      <c r="D325" s="55" t="str">
        <f t="shared" si="48"/>
        <v>01814788</v>
      </c>
      <c r="E325" s="55" t="str">
        <f t="shared" si="49"/>
        <v>4400570050004</v>
      </c>
      <c r="F325" s="55" t="b">
        <f t="shared" si="51"/>
        <v>0</v>
      </c>
      <c r="G325" s="139">
        <f t="shared" si="52"/>
        <v>45565</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0</v>
      </c>
      <c r="G326" s="139">
        <f t="shared" si="52"/>
        <v>45565</v>
      </c>
      <c r="H326" s="105">
        <f>VLOOKUP( $A326, Aop!$A$2:$P$453, 4, 0)</f>
        <v>553</v>
      </c>
      <c r="I326" s="55">
        <f t="shared" si="50"/>
        <v>2024</v>
      </c>
      <c r="J326" s="55" t="str">
        <f t="shared" ca="1" si="46"/>
        <v/>
      </c>
      <c r="K326" s="55"/>
      <c r="L326" s="55"/>
      <c r="M326" s="55">
        <f t="shared" ca="1" si="47"/>
        <v>956742</v>
      </c>
      <c r="N326" s="55">
        <f t="shared" ca="1" si="53"/>
        <v>956742</v>
      </c>
    </row>
    <row r="327" spans="1:14" x14ac:dyDescent="0.2">
      <c r="A327" s="105">
        <v>337</v>
      </c>
      <c r="B327" s="105" t="str">
        <f>VLOOKUP( $A327, Aop!$A$2:$P$453, 2, 0)</f>
        <v>BTG</v>
      </c>
      <c r="C327" s="55">
        <v>29</v>
      </c>
      <c r="D327" s="55" t="str">
        <f t="shared" si="48"/>
        <v>01814788</v>
      </c>
      <c r="E327" s="55" t="str">
        <f t="shared" si="49"/>
        <v>4400570050004</v>
      </c>
      <c r="F327" s="55" t="b">
        <f t="shared" si="51"/>
        <v>0</v>
      </c>
      <c r="G327" s="139">
        <f t="shared" si="52"/>
        <v>45565</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0</v>
      </c>
      <c r="G328" s="139">
        <f t="shared" si="52"/>
        <v>45565</v>
      </c>
      <c r="H328" s="105">
        <f>VLOOKUP( $A328, Aop!$A$2:$P$453, 4, 0)</f>
        <v>555</v>
      </c>
      <c r="I328" s="55">
        <f t="shared" si="50"/>
        <v>2024</v>
      </c>
      <c r="J328" s="55" t="str">
        <f t="shared" ca="1" si="46"/>
        <v/>
      </c>
      <c r="K328" s="55"/>
      <c r="L328" s="55"/>
      <c r="M328" s="55">
        <f t="shared" ca="1" si="47"/>
        <v>23501</v>
      </c>
      <c r="N328" s="55">
        <f t="shared" ca="1" si="53"/>
        <v>23501</v>
      </c>
    </row>
    <row r="329" spans="1:14" x14ac:dyDescent="0.2">
      <c r="A329" s="105">
        <v>339</v>
      </c>
      <c r="B329" s="105" t="str">
        <f>VLOOKUP( $A329, Aop!$A$2:$P$453, 2, 0)</f>
        <v>BTG</v>
      </c>
      <c r="C329" s="55">
        <v>29</v>
      </c>
      <c r="D329" s="55" t="str">
        <f t="shared" si="48"/>
        <v>01814788</v>
      </c>
      <c r="E329" s="55" t="str">
        <f t="shared" si="49"/>
        <v>4400570050004</v>
      </c>
      <c r="F329" s="55" t="b">
        <f t="shared" si="51"/>
        <v>0</v>
      </c>
      <c r="G329" s="139">
        <f t="shared" si="52"/>
        <v>45565</v>
      </c>
      <c r="H329" s="105">
        <f>VLOOKUP( $A329, Aop!$A$2:$P$453, 4, 0)</f>
        <v>556</v>
      </c>
      <c r="I329" s="55">
        <f t="shared" si="50"/>
        <v>2024</v>
      </c>
      <c r="J329" s="55" t="str">
        <f t="shared" ca="1" si="46"/>
        <v/>
      </c>
      <c r="K329" s="55"/>
      <c r="L329" s="55"/>
      <c r="M329" s="55">
        <f t="shared" ca="1" si="47"/>
        <v>670532</v>
      </c>
      <c r="N329" s="55">
        <f t="shared" ca="1" si="53"/>
        <v>670532</v>
      </c>
    </row>
    <row r="330" spans="1:14" x14ac:dyDescent="0.2">
      <c r="A330" s="105">
        <v>340</v>
      </c>
      <c r="B330" s="105" t="str">
        <f>VLOOKUP( $A330, Aop!$A$2:$P$453, 2, 0)</f>
        <v>BTG</v>
      </c>
      <c r="C330" s="55">
        <v>29</v>
      </c>
      <c r="D330" s="55" t="str">
        <f t="shared" si="48"/>
        <v>01814788</v>
      </c>
      <c r="E330" s="55" t="str">
        <f t="shared" si="49"/>
        <v>4400570050004</v>
      </c>
      <c r="F330" s="55" t="b">
        <f t="shared" si="51"/>
        <v>0</v>
      </c>
      <c r="G330" s="139">
        <f t="shared" si="52"/>
        <v>45565</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0</v>
      </c>
      <c r="G331" s="139">
        <f t="shared" si="52"/>
        <v>45565</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0</v>
      </c>
      <c r="G332" s="139">
        <f t="shared" si="52"/>
        <v>45565</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0</v>
      </c>
      <c r="G333" s="139">
        <f t="shared" si="52"/>
        <v>45565</v>
      </c>
      <c r="H333" s="105">
        <f>VLOOKUP( $A333, Aop!$A$2:$P$453, 4, 0)</f>
        <v>560</v>
      </c>
      <c r="I333" s="55">
        <f t="shared" si="50"/>
        <v>2024</v>
      </c>
      <c r="J333" s="55" t="str">
        <f t="shared" ca="1" si="54"/>
        <v/>
      </c>
      <c r="K333" s="55"/>
      <c r="L333" s="55"/>
      <c r="M333" s="55">
        <f t="shared" ca="1" si="47"/>
        <v>1603309</v>
      </c>
      <c r="N333" s="55">
        <f t="shared" ca="1" si="53"/>
        <v>1603309</v>
      </c>
    </row>
    <row r="334" spans="1:14" x14ac:dyDescent="0.2">
      <c r="A334" s="105">
        <v>344</v>
      </c>
      <c r="B334" s="105" t="str">
        <f>VLOOKUP( $A334, Aop!$A$2:$P$453, 2, 0)</f>
        <v>BTG</v>
      </c>
      <c r="C334" s="55">
        <v>29</v>
      </c>
      <c r="D334" s="55" t="str">
        <f t="shared" si="48"/>
        <v>01814788</v>
      </c>
      <c r="E334" s="55" t="str">
        <f t="shared" si="49"/>
        <v>4400570050004</v>
      </c>
      <c r="F334" s="55" t="b">
        <f t="shared" si="51"/>
        <v>0</v>
      </c>
      <c r="G334" s="139">
        <f t="shared" si="52"/>
        <v>45565</v>
      </c>
      <c r="H334" s="105">
        <f>VLOOKUP( $A334, Aop!$A$2:$P$453, 4, 0)</f>
        <v>561</v>
      </c>
      <c r="I334" s="55">
        <f t="shared" si="50"/>
        <v>2024</v>
      </c>
      <c r="J334" s="55" t="str">
        <f t="shared" ca="1" si="54"/>
        <v/>
      </c>
      <c r="K334" s="55"/>
      <c r="L334" s="55"/>
      <c r="M334" s="55">
        <f t="shared" ca="1" si="47"/>
        <v>29798640</v>
      </c>
      <c r="N334" s="55">
        <f t="shared" ca="1" si="53"/>
        <v>29798640</v>
      </c>
    </row>
    <row r="335" spans="1:14" x14ac:dyDescent="0.2">
      <c r="A335" s="105">
        <v>345</v>
      </c>
      <c r="B335" s="105" t="str">
        <f>VLOOKUP( $A335, Aop!$A$2:$P$453, 2, 0)</f>
        <v>BTG</v>
      </c>
      <c r="C335" s="55">
        <v>29</v>
      </c>
      <c r="D335" s="55" t="str">
        <f t="shared" si="48"/>
        <v>01814788</v>
      </c>
      <c r="E335" s="55" t="str">
        <f t="shared" si="49"/>
        <v>4400570050004</v>
      </c>
      <c r="F335" s="55" t="b">
        <f t="shared" si="51"/>
        <v>0</v>
      </c>
      <c r="G335" s="139">
        <f t="shared" si="52"/>
        <v>45565</v>
      </c>
      <c r="H335" s="105">
        <f>VLOOKUP( $A335, Aop!$A$2:$P$453, 4, 0)</f>
        <v>562</v>
      </c>
      <c r="I335" s="55">
        <f t="shared" si="50"/>
        <v>2024</v>
      </c>
      <c r="J335" s="55" t="str">
        <f t="shared" ca="1" si="54"/>
        <v/>
      </c>
      <c r="K335" s="55"/>
      <c r="L335" s="55"/>
      <c r="M335" s="55">
        <f t="shared" ca="1" si="47"/>
        <v>30721981</v>
      </c>
      <c r="N335" s="55">
        <f t="shared" ca="1" si="53"/>
        <v>30721981</v>
      </c>
    </row>
    <row r="336" spans="1:14" x14ac:dyDescent="0.2">
      <c r="A336" s="105">
        <v>346</v>
      </c>
      <c r="B336" s="105" t="str">
        <f>VLOOKUP( $A336, Aop!$A$2:$P$453, 2, 0)</f>
        <v>BTG</v>
      </c>
      <c r="C336" s="55">
        <v>29</v>
      </c>
      <c r="D336" s="55" t="str">
        <f t="shared" si="48"/>
        <v>01814788</v>
      </c>
      <c r="E336" s="55" t="str">
        <f t="shared" si="49"/>
        <v>4400570050004</v>
      </c>
      <c r="F336" s="55" t="b">
        <f t="shared" si="51"/>
        <v>0</v>
      </c>
      <c r="G336" s="139">
        <f t="shared" si="52"/>
        <v>45565</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0</v>
      </c>
      <c r="G337" s="139">
        <f t="shared" si="52"/>
        <v>45565</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923341</v>
      </c>
      <c r="N337" s="55">
        <f t="shared" ca="1" si="53"/>
        <v>923341</v>
      </c>
    </row>
    <row r="338" spans="1:14" x14ac:dyDescent="0.2">
      <c r="A338" s="105">
        <v>348</v>
      </c>
      <c r="B338" s="105" t="str">
        <f>VLOOKUP( $A338, Aop!$A$2:$P$453, 2, 0)</f>
        <v>BTG</v>
      </c>
      <c r="C338" s="55">
        <v>29</v>
      </c>
      <c r="D338" s="55" t="str">
        <f t="shared" si="48"/>
        <v>01814788</v>
      </c>
      <c r="E338" s="55" t="str">
        <f t="shared" si="49"/>
        <v>4400570050004</v>
      </c>
      <c r="F338" s="55" t="b">
        <f t="shared" si="51"/>
        <v>0</v>
      </c>
      <c r="G338" s="139">
        <f t="shared" si="52"/>
        <v>45565</v>
      </c>
      <c r="H338" s="105">
        <f>VLOOKUP( $A338, Aop!$A$2:$P$453, 4, 0)</f>
        <v>565</v>
      </c>
      <c r="I338" s="55">
        <f t="shared" si="50"/>
        <v>2024</v>
      </c>
      <c r="J338" s="55" t="str">
        <f t="shared" ca="1" si="54"/>
        <v/>
      </c>
      <c r="K338" s="55"/>
      <c r="L338" s="55"/>
      <c r="M338" s="55">
        <f t="shared" ca="1" si="55"/>
        <v>3623434</v>
      </c>
      <c r="N338" s="55">
        <f t="shared" ca="1" si="53"/>
        <v>3623434</v>
      </c>
    </row>
    <row r="339" spans="1:14" x14ac:dyDescent="0.2">
      <c r="A339" s="105">
        <v>349</v>
      </c>
      <c r="B339" s="105" t="str">
        <f>VLOOKUP( $A339, Aop!$A$2:$P$453, 2, 0)</f>
        <v>BTG</v>
      </c>
      <c r="C339" s="55">
        <v>29</v>
      </c>
      <c r="D339" s="55" t="str">
        <f t="shared" si="48"/>
        <v>01814788</v>
      </c>
      <c r="E339" s="55" t="str">
        <f t="shared" si="49"/>
        <v>4400570050004</v>
      </c>
      <c r="F339" s="55" t="b">
        <f t="shared" si="51"/>
        <v>0</v>
      </c>
      <c r="G339" s="139">
        <f t="shared" si="52"/>
        <v>45565</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0</v>
      </c>
      <c r="G340" s="139">
        <f t="shared" si="52"/>
        <v>45565</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0</v>
      </c>
      <c r="G341" s="139">
        <f t="shared" si="52"/>
        <v>45565</v>
      </c>
      <c r="H341" s="105">
        <f>VLOOKUP( $A341, Aop!$A$2:$P$453, 4, 0)</f>
        <v>568</v>
      </c>
      <c r="I341" s="55">
        <f t="shared" si="50"/>
        <v>2024</v>
      </c>
      <c r="J341" s="55" t="str">
        <f t="shared" ca="1" si="54"/>
        <v/>
      </c>
      <c r="K341" s="55"/>
      <c r="L341" s="55"/>
      <c r="M341" s="55">
        <f t="shared" ca="1" si="55"/>
        <v>2700093</v>
      </c>
      <c r="N341" s="55">
        <f t="shared" ca="1" si="53"/>
        <v>2700093</v>
      </c>
    </row>
    <row r="342" spans="1:14" x14ac:dyDescent="0.2">
      <c r="A342" s="105">
        <v>352</v>
      </c>
      <c r="B342" s="55" t="str">
        <f>VLOOKUP( $A342, Aop!$A$2:$P$453, 2, 0)</f>
        <v>Aneks</v>
      </c>
      <c r="C342" s="55">
        <v>28</v>
      </c>
      <c r="D342" s="55" t="str">
        <f>Podatak_MB</f>
        <v>01814788</v>
      </c>
      <c r="E342" s="55" t="str">
        <f>Podatak_JIB</f>
        <v>4400570050004</v>
      </c>
      <c r="F342" s="55" t="b">
        <f>Konsolidovan_izvjestaj</f>
        <v>0</v>
      </c>
      <c r="G342" s="139">
        <f>Datum_Broj</f>
        <v>45565</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0</v>
      </c>
      <c r="G343" s="139">
        <f t="shared" si="52"/>
        <v>45565</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0</v>
      </c>
      <c r="G344" s="139">
        <f t="shared" si="52"/>
        <v>45565</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0</v>
      </c>
      <c r="G345" s="139">
        <f t="shared" si="52"/>
        <v>45565</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0</v>
      </c>
      <c r="G346" s="139">
        <f t="shared" si="52"/>
        <v>45565</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0</v>
      </c>
      <c r="G347" s="139">
        <f t="shared" si="52"/>
        <v>45565</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0</v>
      </c>
      <c r="G348" s="139">
        <f t="shared" si="52"/>
        <v>45565</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0</v>
      </c>
      <c r="G349" s="139">
        <f t="shared" si="52"/>
        <v>45565</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0</v>
      </c>
      <c r="G350" s="139">
        <f t="shared" si="52"/>
        <v>45565</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0</v>
      </c>
      <c r="G351" s="139">
        <f t="shared" si="52"/>
        <v>45565</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0</v>
      </c>
      <c r="G352" s="139">
        <f t="shared" si="52"/>
        <v>45565</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0</v>
      </c>
      <c r="G353" s="139">
        <f t="shared" si="52"/>
        <v>45565</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0</v>
      </c>
      <c r="G354" s="139">
        <f t="shared" si="52"/>
        <v>45565</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0</v>
      </c>
      <c r="G355" s="139">
        <f t="shared" si="52"/>
        <v>45565</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0</v>
      </c>
      <c r="G356" s="139">
        <f t="shared" si="52"/>
        <v>45565</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0</v>
      </c>
      <c r="G357" s="139">
        <f t="shared" ref="G357:G364" si="61">Datum_Broj</f>
        <v>45565</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0</v>
      </c>
      <c r="G358" s="139">
        <f t="shared" si="61"/>
        <v>45565</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0</v>
      </c>
      <c r="G359" s="139">
        <f t="shared" si="61"/>
        <v>45565</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0</v>
      </c>
      <c r="G360" s="139">
        <f t="shared" si="61"/>
        <v>45565</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0</v>
      </c>
      <c r="G361" s="139">
        <f t="shared" si="61"/>
        <v>45565</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0</v>
      </c>
      <c r="G362" s="139">
        <f t="shared" si="61"/>
        <v>45565</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0</v>
      </c>
      <c r="G363" s="139">
        <f t="shared" si="61"/>
        <v>45565</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0</v>
      </c>
      <c r="G364" s="139">
        <f t="shared" si="61"/>
        <v>45565</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0</v>
      </c>
      <c r="G365" s="223">
        <f t="shared" ref="G365:G408" si="66">Datum_Broj</f>
        <v>45565</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0</v>
      </c>
      <c r="G366" s="223">
        <f t="shared" si="66"/>
        <v>45565</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0</v>
      </c>
      <c r="G367" s="223">
        <f t="shared" si="66"/>
        <v>45565</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0</v>
      </c>
      <c r="G368" s="223">
        <f t="shared" si="66"/>
        <v>45565</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0</v>
      </c>
      <c r="G369" s="223">
        <f t="shared" si="66"/>
        <v>45565</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0</v>
      </c>
      <c r="G370" s="223">
        <f t="shared" si="66"/>
        <v>45565</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0</v>
      </c>
      <c r="G371" s="223">
        <f t="shared" si="66"/>
        <v>45565</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0</v>
      </c>
      <c r="G372" s="223">
        <f t="shared" si="66"/>
        <v>45565</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0</v>
      </c>
      <c r="G373" s="223">
        <f t="shared" si="66"/>
        <v>45565</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0</v>
      </c>
      <c r="G374" s="223">
        <f t="shared" si="66"/>
        <v>45565</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0</v>
      </c>
      <c r="G375" s="223">
        <f t="shared" si="66"/>
        <v>45565</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0</v>
      </c>
      <c r="G376" s="223">
        <f t="shared" si="66"/>
        <v>45565</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0</v>
      </c>
      <c r="G377" s="223">
        <f t="shared" si="66"/>
        <v>45565</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0</v>
      </c>
      <c r="G378" s="223">
        <f t="shared" si="66"/>
        <v>45565</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0</v>
      </c>
      <c r="G379" s="223">
        <f t="shared" si="66"/>
        <v>45565</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0</v>
      </c>
      <c r="G380" s="223">
        <f t="shared" si="66"/>
        <v>45565</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0</v>
      </c>
      <c r="G381" s="223">
        <f t="shared" si="66"/>
        <v>45565</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0</v>
      </c>
      <c r="G382" s="223">
        <f t="shared" si="66"/>
        <v>45565</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0</v>
      </c>
      <c r="G383" s="223">
        <f t="shared" si="66"/>
        <v>45565</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0</v>
      </c>
      <c r="G384" s="223">
        <f t="shared" si="66"/>
        <v>45565</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0</v>
      </c>
      <c r="G385" s="223">
        <f t="shared" si="66"/>
        <v>45565</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0</v>
      </c>
      <c r="G386" s="223">
        <f t="shared" si="66"/>
        <v>45565</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0</v>
      </c>
      <c r="G387" s="223">
        <f t="shared" si="66"/>
        <v>45565</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0</v>
      </c>
      <c r="G388" s="223">
        <f t="shared" si="66"/>
        <v>45565</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0</v>
      </c>
      <c r="G389" s="223">
        <f t="shared" si="66"/>
        <v>45565</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0</v>
      </c>
      <c r="G390" s="223">
        <f t="shared" si="66"/>
        <v>45565</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0</v>
      </c>
      <c r="G391" s="223">
        <f t="shared" si="66"/>
        <v>45565</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0</v>
      </c>
      <c r="G392" s="223">
        <f t="shared" si="66"/>
        <v>45565</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0</v>
      </c>
      <c r="G393" s="223">
        <f t="shared" si="66"/>
        <v>45565</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0</v>
      </c>
      <c r="G394" s="223">
        <f t="shared" si="66"/>
        <v>45565</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0</v>
      </c>
      <c r="G395" s="223">
        <f t="shared" si="66"/>
        <v>45565</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0</v>
      </c>
      <c r="G396" s="223">
        <f t="shared" si="66"/>
        <v>45565</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0</v>
      </c>
      <c r="G397" s="223">
        <f t="shared" si="66"/>
        <v>45565</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0</v>
      </c>
      <c r="G398" s="223">
        <f t="shared" si="66"/>
        <v>45565</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0</v>
      </c>
      <c r="G399" s="223">
        <f t="shared" si="66"/>
        <v>45565</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0</v>
      </c>
      <c r="G400" s="223">
        <f t="shared" si="66"/>
        <v>45565</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0</v>
      </c>
      <c r="G401" s="223">
        <f t="shared" si="66"/>
        <v>45565</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0</v>
      </c>
      <c r="G402" s="223">
        <f t="shared" si="66"/>
        <v>45565</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0</v>
      </c>
      <c r="G403" s="223">
        <f t="shared" si="66"/>
        <v>45565</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0</v>
      </c>
      <c r="G404" s="223">
        <f t="shared" si="66"/>
        <v>45565</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0</v>
      </c>
      <c r="G405" s="223">
        <f t="shared" si="66"/>
        <v>45565</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0</v>
      </c>
      <c r="G406" s="223">
        <f t="shared" si="66"/>
        <v>45565</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0</v>
      </c>
      <c r="G407" s="223">
        <f t="shared" si="66"/>
        <v>45565</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0</v>
      </c>
      <c r="G408" s="223">
        <f t="shared" si="66"/>
        <v>45565</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0</v>
      </c>
      <c r="F2" s="11">
        <f>VLOOKUP( $A2, Aop!$A$2:$P$453, 4, 0)</f>
        <v>0</v>
      </c>
      <c r="G2" s="55">
        <f t="shared" ref="G2:G20" si="3">Godina</f>
        <v>2024</v>
      </c>
      <c r="H2" s="139">
        <f t="shared" ref="H2:H20" si="4">Datum_Broj</f>
        <v>45565</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0</v>
      </c>
      <c r="F3" s="11">
        <f>VLOOKUP( $A3, Aop!$A$2:$P$453, 4, 0)</f>
        <v>901</v>
      </c>
      <c r="G3" s="55">
        <f t="shared" si="3"/>
        <v>2024</v>
      </c>
      <c r="H3" s="139">
        <f t="shared" si="4"/>
        <v>45565</v>
      </c>
      <c r="I3" s="55">
        <v>30</v>
      </c>
      <c r="J3" s="52">
        <f t="shared" ref="J3:S19" ca="1" si="5">IF(VLOOKUP($F3,INDIRECT("Lookup_"&amp;$B3),J$1-1,0)="","",VLOOKUP($F3,INDIRECT("Lookup_"&amp;$B3),J$1-1,0))</f>
        <v>15795899</v>
      </c>
      <c r="K3" s="52">
        <f t="shared" ca="1" si="5"/>
        <v>0</v>
      </c>
      <c r="L3" s="52">
        <f t="shared" ca="1" si="5"/>
        <v>9006386</v>
      </c>
      <c r="M3" s="52">
        <f t="shared" ca="1" si="5"/>
        <v>29859808</v>
      </c>
      <c r="N3" s="52">
        <f t="shared" ca="1" si="5"/>
        <v>0</v>
      </c>
      <c r="O3" s="52">
        <f t="shared" ca="1" si="5"/>
        <v>0</v>
      </c>
      <c r="P3" s="52">
        <f t="shared" ca="1" si="5"/>
        <v>36690262</v>
      </c>
      <c r="Q3" s="52">
        <f t="shared" ca="1" si="5"/>
        <v>91352355</v>
      </c>
      <c r="R3" s="52" t="str">
        <f t="shared" ca="1" si="5"/>
        <v/>
      </c>
      <c r="S3" s="52">
        <f t="shared" ca="1" si="5"/>
        <v>91352355</v>
      </c>
    </row>
    <row r="4" spans="1:19" x14ac:dyDescent="0.2">
      <c r="A4" s="106">
        <v>421</v>
      </c>
      <c r="B4" s="107" t="str">
        <f>VLOOKUP( $A4, Aop!$A$2:$P$453, 2, 0)</f>
        <v>BPK</v>
      </c>
      <c r="C4" s="55" t="str">
        <f t="shared" si="0"/>
        <v>01814788</v>
      </c>
      <c r="D4" s="55" t="str">
        <f t="shared" si="1"/>
        <v>4400570050004</v>
      </c>
      <c r="E4" s="55" t="b">
        <f t="shared" si="2"/>
        <v>0</v>
      </c>
      <c r="F4" s="11">
        <f>VLOOKUP( $A4, Aop!$A$2:$P$453, 4, 0)</f>
        <v>0</v>
      </c>
      <c r="G4" s="55">
        <f t="shared" si="3"/>
        <v>2024</v>
      </c>
      <c r="H4" s="139">
        <f t="shared" si="4"/>
        <v>45565</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0</v>
      </c>
      <c r="F5" s="11">
        <f>VLOOKUP( $A5, Aop!$A$2:$P$453, 4, 0)</f>
        <v>902</v>
      </c>
      <c r="G5" s="55">
        <f t="shared" si="3"/>
        <v>2024</v>
      </c>
      <c r="H5" s="139">
        <f t="shared" si="4"/>
        <v>45565</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0</v>
      </c>
      <c r="F6" s="11">
        <f>VLOOKUP( $A6, Aop!$A$2:$P$453, 4, 0)</f>
        <v>903</v>
      </c>
      <c r="G6" s="55">
        <f t="shared" si="3"/>
        <v>2024</v>
      </c>
      <c r="H6" s="139">
        <f t="shared" si="4"/>
        <v>45565</v>
      </c>
      <c r="I6" s="55">
        <v>30</v>
      </c>
      <c r="J6" s="52" t="str">
        <f t="shared" ca="1" si="5"/>
        <v/>
      </c>
      <c r="K6" s="52" t="str">
        <f t="shared" ca="1" si="5"/>
        <v/>
      </c>
      <c r="L6" s="52">
        <f t="shared" ca="1" si="5"/>
        <v>156447</v>
      </c>
      <c r="M6" s="52" t="str">
        <f t="shared" ca="1" si="5"/>
        <v/>
      </c>
      <c r="N6" s="52" t="str">
        <f t="shared" ca="1" si="5"/>
        <v/>
      </c>
      <c r="O6" s="52" t="str">
        <f t="shared" ca="1" si="5"/>
        <v/>
      </c>
      <c r="P6" s="52">
        <f t="shared" ca="1" si="5"/>
        <v>-156447</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0</v>
      </c>
      <c r="F7" s="11">
        <f>VLOOKUP( $A7, Aop!$A$2:$P$453, 4, 0)</f>
        <v>904</v>
      </c>
      <c r="G7" s="55">
        <f t="shared" si="3"/>
        <v>2024</v>
      </c>
      <c r="H7" s="139">
        <f t="shared" si="4"/>
        <v>45565</v>
      </c>
      <c r="I7" s="55">
        <v>30</v>
      </c>
      <c r="J7" s="52">
        <f t="shared" ca="1" si="5"/>
        <v>15795899</v>
      </c>
      <c r="K7" s="52">
        <f t="shared" ca="1" si="5"/>
        <v>0</v>
      </c>
      <c r="L7" s="52">
        <f t="shared" ca="1" si="5"/>
        <v>9162833</v>
      </c>
      <c r="M7" s="52">
        <f t="shared" ca="1" si="5"/>
        <v>29859808</v>
      </c>
      <c r="N7" s="52">
        <f t="shared" ca="1" si="5"/>
        <v>0</v>
      </c>
      <c r="O7" s="52">
        <f t="shared" ca="1" si="5"/>
        <v>0</v>
      </c>
      <c r="P7" s="52">
        <f t="shared" ca="1" si="5"/>
        <v>36533815</v>
      </c>
      <c r="Q7" s="52">
        <f t="shared" ca="1" si="5"/>
        <v>91352355</v>
      </c>
      <c r="R7" s="52">
        <f t="shared" ca="1" si="5"/>
        <v>0</v>
      </c>
      <c r="S7" s="52">
        <f t="shared" ca="1" si="5"/>
        <v>91352355</v>
      </c>
    </row>
    <row r="8" spans="1:19" x14ac:dyDescent="0.2">
      <c r="A8" s="106">
        <v>425</v>
      </c>
      <c r="B8" s="107" t="str">
        <f>VLOOKUP( $A8, Aop!$A$2:$P$453, 2, 0)</f>
        <v>BPK</v>
      </c>
      <c r="C8" s="55" t="str">
        <f t="shared" si="0"/>
        <v>01814788</v>
      </c>
      <c r="D8" s="55" t="str">
        <f t="shared" si="1"/>
        <v>4400570050004</v>
      </c>
      <c r="E8" s="55" t="b">
        <f t="shared" si="2"/>
        <v>0</v>
      </c>
      <c r="F8" s="11">
        <f>VLOOKUP( $A8, Aop!$A$2:$P$453, 4, 0)</f>
        <v>0</v>
      </c>
      <c r="G8" s="55">
        <f t="shared" si="3"/>
        <v>2024</v>
      </c>
      <c r="H8" s="139">
        <f t="shared" si="4"/>
        <v>45565</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0</v>
      </c>
      <c r="F9" s="11">
        <f>VLOOKUP( $A9, Aop!$A$2:$P$453, 4, 0)</f>
        <v>905</v>
      </c>
      <c r="G9" s="55">
        <f t="shared" si="3"/>
        <v>2024</v>
      </c>
      <c r="H9" s="139">
        <f t="shared" si="4"/>
        <v>45565</v>
      </c>
      <c r="I9" s="55">
        <v>30</v>
      </c>
      <c r="J9" s="52" t="str">
        <f t="shared" ca="1" si="5"/>
        <v/>
      </c>
      <c r="K9" s="52" t="str">
        <f t="shared" ca="1" si="5"/>
        <v/>
      </c>
      <c r="L9" s="52" t="str">
        <f t="shared" ca="1" si="5"/>
        <v/>
      </c>
      <c r="M9" s="52" t="str">
        <f t="shared" ca="1" si="5"/>
        <v/>
      </c>
      <c r="N9" s="52" t="str">
        <f t="shared" ca="1" si="5"/>
        <v/>
      </c>
      <c r="O9" s="52" t="str">
        <f t="shared" ca="1" si="5"/>
        <v/>
      </c>
      <c r="P9" s="52">
        <f t="shared" ca="1" si="5"/>
        <v>644331</v>
      </c>
      <c r="Q9" s="52">
        <f t="shared" ca="1" si="5"/>
        <v>644331</v>
      </c>
      <c r="R9" s="52" t="str">
        <f t="shared" ca="1" si="5"/>
        <v/>
      </c>
      <c r="S9" s="52">
        <f t="shared" ca="1" si="5"/>
        <v>644331</v>
      </c>
    </row>
    <row r="10" spans="1:19" x14ac:dyDescent="0.2">
      <c r="A10" s="106">
        <v>427</v>
      </c>
      <c r="B10" s="107" t="str">
        <f>VLOOKUP( $A10, Aop!$A$2:$P$453, 2, 0)</f>
        <v>BPK</v>
      </c>
      <c r="C10" s="55" t="str">
        <f t="shared" si="0"/>
        <v>01814788</v>
      </c>
      <c r="D10" s="55" t="str">
        <f t="shared" si="1"/>
        <v>4400570050004</v>
      </c>
      <c r="E10" s="55" t="b">
        <f t="shared" si="2"/>
        <v>0</v>
      </c>
      <c r="F10" s="11">
        <f>VLOOKUP( $A10, Aop!$A$2:$P$453, 4, 0)</f>
        <v>906</v>
      </c>
      <c r="G10" s="55">
        <f t="shared" si="3"/>
        <v>2024</v>
      </c>
      <c r="H10" s="139">
        <f t="shared" si="4"/>
        <v>45565</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0</v>
      </c>
      <c r="F11" s="11">
        <f>VLOOKUP( $A11, Aop!$A$2:$P$453, 4, 0)</f>
        <v>907</v>
      </c>
      <c r="G11" s="55">
        <f t="shared" si="3"/>
        <v>2024</v>
      </c>
      <c r="H11" s="139">
        <f t="shared" si="4"/>
        <v>45565</v>
      </c>
      <c r="I11" s="55">
        <v>30</v>
      </c>
      <c r="J11" s="52">
        <f t="shared" ca="1" si="5"/>
        <v>0</v>
      </c>
      <c r="K11" s="52">
        <f t="shared" ca="1" si="5"/>
        <v>0</v>
      </c>
      <c r="L11" s="52">
        <f t="shared" ca="1" si="5"/>
        <v>0</v>
      </c>
      <c r="M11" s="52">
        <f t="shared" ca="1" si="5"/>
        <v>-2320090</v>
      </c>
      <c r="N11" s="52">
        <f t="shared" ca="1" si="5"/>
        <v>0</v>
      </c>
      <c r="O11" s="52">
        <f t="shared" ca="1" si="5"/>
        <v>0</v>
      </c>
      <c r="P11" s="52">
        <f t="shared" ca="1" si="5"/>
        <v>2964421</v>
      </c>
      <c r="Q11" s="52">
        <f t="shared" ca="1" si="5"/>
        <v>644331</v>
      </c>
      <c r="R11" s="52">
        <f t="shared" ca="1" si="5"/>
        <v>0</v>
      </c>
      <c r="S11" s="52">
        <f t="shared" ca="1" si="5"/>
        <v>644331</v>
      </c>
    </row>
    <row r="12" spans="1:19" x14ac:dyDescent="0.2">
      <c r="A12" s="106">
        <v>429</v>
      </c>
      <c r="B12" s="107" t="str">
        <f>VLOOKUP( $A12, Aop!$A$2:$P$453, 2, 0)</f>
        <v>BPK</v>
      </c>
      <c r="C12" s="55" t="str">
        <f t="shared" si="0"/>
        <v>01814788</v>
      </c>
      <c r="D12" s="55" t="str">
        <f t="shared" si="1"/>
        <v>4400570050004</v>
      </c>
      <c r="E12" s="55" t="b">
        <f t="shared" si="2"/>
        <v>0</v>
      </c>
      <c r="F12" s="11">
        <f>VLOOKUP( $A12, Aop!$A$2:$P$453, 4, 0)</f>
        <v>0</v>
      </c>
      <c r="G12" s="55">
        <f t="shared" si="3"/>
        <v>2024</v>
      </c>
      <c r="H12" s="139">
        <f t="shared" si="4"/>
        <v>45565</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0</v>
      </c>
      <c r="F13" s="11">
        <f>VLOOKUP( $A13, Aop!$A$2:$P$453, 4, 0)</f>
        <v>908</v>
      </c>
      <c r="G13" s="55">
        <f t="shared" si="3"/>
        <v>2024</v>
      </c>
      <c r="H13" s="139">
        <f t="shared" si="4"/>
        <v>45565</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0</v>
      </c>
      <c r="F14" s="11">
        <f>VLOOKUP( $A14, Aop!$A$2:$P$453, 4, 0)</f>
        <v>909</v>
      </c>
      <c r="G14" s="55">
        <f t="shared" si="3"/>
        <v>2024</v>
      </c>
      <c r="H14" s="139">
        <f t="shared" si="4"/>
        <v>45565</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0</v>
      </c>
      <c r="F15" s="11">
        <f>VLOOKUP( $A15, Aop!$A$2:$P$453, 4, 0)</f>
        <v>910</v>
      </c>
      <c r="G15" s="55">
        <f t="shared" si="3"/>
        <v>2024</v>
      </c>
      <c r="H15" s="139">
        <f t="shared" si="4"/>
        <v>45565</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0</v>
      </c>
      <c r="F16" s="11">
        <f>VLOOKUP( $A16, Aop!$A$2:$P$453, 4, 0)</f>
        <v>911</v>
      </c>
      <c r="G16" s="55">
        <f t="shared" si="3"/>
        <v>2024</v>
      </c>
      <c r="H16" s="139">
        <f t="shared" si="4"/>
        <v>45565</v>
      </c>
      <c r="I16" s="55">
        <v>30</v>
      </c>
      <c r="J16" s="52" t="str">
        <f t="shared" ca="1" si="5"/>
        <v/>
      </c>
      <c r="K16" s="52" t="str">
        <f t="shared" ca="1" si="5"/>
        <v/>
      </c>
      <c r="L16" s="52">
        <f t="shared" ca="1" si="5"/>
        <v>307443</v>
      </c>
      <c r="M16" s="52" t="str">
        <f t="shared" ca="1" si="5"/>
        <v/>
      </c>
      <c r="N16" s="52" t="str">
        <f t="shared" ca="1" si="5"/>
        <v/>
      </c>
      <c r="O16" s="52" t="str">
        <f t="shared" ca="1" si="5"/>
        <v/>
      </c>
      <c r="P16" s="52">
        <f t="shared" ca="1" si="5"/>
        <v>-307443</v>
      </c>
      <c r="Q16" s="52">
        <f t="shared" ca="1" si="5"/>
        <v>0</v>
      </c>
      <c r="R16" s="52" t="str">
        <f t="shared" ca="1" si="5"/>
        <v/>
      </c>
      <c r="S16" s="52">
        <f t="shared" ca="1" si="5"/>
        <v>0</v>
      </c>
    </row>
    <row r="17" spans="1:19" x14ac:dyDescent="0.2">
      <c r="A17" s="106">
        <v>434</v>
      </c>
      <c r="B17" s="107" t="str">
        <f>VLOOKUP( $A17, Aop!$A$2:$P$453, 2, 0)</f>
        <v>BPK</v>
      </c>
      <c r="C17" s="55" t="str">
        <f t="shared" si="0"/>
        <v>01814788</v>
      </c>
      <c r="D17" s="55" t="str">
        <f t="shared" si="1"/>
        <v>4400570050004</v>
      </c>
      <c r="E17" s="55" t="b">
        <f t="shared" si="2"/>
        <v>0</v>
      </c>
      <c r="F17" s="11">
        <f>VLOOKUP( $A17, Aop!$A$2:$P$453, 4, 0)</f>
        <v>912</v>
      </c>
      <c r="G17" s="55">
        <f t="shared" si="3"/>
        <v>2024</v>
      </c>
      <c r="H17" s="139">
        <f t="shared" si="4"/>
        <v>45565</v>
      </c>
      <c r="I17" s="55">
        <v>30</v>
      </c>
      <c r="J17" s="52" t="str">
        <f t="shared" ca="1" si="5"/>
        <v/>
      </c>
      <c r="K17" s="52" t="str">
        <f t="shared" ca="1" si="5"/>
        <v/>
      </c>
      <c r="L17" s="52">
        <f t="shared" ca="1" si="5"/>
        <v>3949230</v>
      </c>
      <c r="M17" s="52">
        <f t="shared" ca="1" si="5"/>
        <v>-12629</v>
      </c>
      <c r="N17" s="52" t="str">
        <f t="shared" ca="1" si="5"/>
        <v/>
      </c>
      <c r="O17" s="52" t="str">
        <f t="shared" ca="1" si="5"/>
        <v/>
      </c>
      <c r="P17" s="52">
        <f t="shared" ca="1" si="5"/>
        <v>101138</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0</v>
      </c>
      <c r="F18" s="11">
        <f>VLOOKUP( $A18, Aop!$A$2:$P$453, 4, 0)</f>
        <v>0</v>
      </c>
      <c r="G18" s="55">
        <f t="shared" si="3"/>
        <v>2024</v>
      </c>
      <c r="H18" s="139">
        <f t="shared" si="4"/>
        <v>45565</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0</v>
      </c>
      <c r="F19" s="11">
        <f>VLOOKUP( $A19, Aop!$A$2:$P$453, 4, 0)</f>
        <v>913</v>
      </c>
      <c r="G19" s="55">
        <f t="shared" si="3"/>
        <v>2024</v>
      </c>
      <c r="H19" s="139">
        <f t="shared" si="4"/>
        <v>45565</v>
      </c>
      <c r="I19" s="55">
        <v>30</v>
      </c>
      <c r="J19" s="52">
        <f t="shared" ca="1" si="5"/>
        <v>15795899</v>
      </c>
      <c r="K19" s="52">
        <f t="shared" ca="1" si="5"/>
        <v>0</v>
      </c>
      <c r="L19" s="52">
        <f t="shared" ca="1" si="5"/>
        <v>13419506</v>
      </c>
      <c r="M19" s="52">
        <f t="shared" ca="1" si="5"/>
        <v>27527089</v>
      </c>
      <c r="N19" s="52">
        <f t="shared" ca="1" si="5"/>
        <v>0</v>
      </c>
      <c r="O19" s="52">
        <f t="shared" ca="1" si="5"/>
        <v>0</v>
      </c>
      <c r="P19" s="52">
        <f t="shared" ca="1" si="5"/>
        <v>39291931</v>
      </c>
      <c r="Q19" s="52">
        <f t="shared" ca="1" si="5"/>
        <v>96034425</v>
      </c>
      <c r="R19" s="52">
        <f t="shared" ca="1" si="5"/>
        <v>0</v>
      </c>
      <c r="S19" s="52">
        <f t="shared" ca="1" si="5"/>
        <v>96034425</v>
      </c>
    </row>
    <row r="20" spans="1:19" x14ac:dyDescent="0.2">
      <c r="A20" s="106">
        <v>437</v>
      </c>
      <c r="B20" s="112" t="str">
        <f>VLOOKUP( $A20, Aop!$A$2:$P$453, 2, 0)</f>
        <v>BPK</v>
      </c>
      <c r="C20" s="55" t="str">
        <f t="shared" si="0"/>
        <v>01814788</v>
      </c>
      <c r="D20" s="55" t="str">
        <f t="shared" si="1"/>
        <v>4400570050004</v>
      </c>
      <c r="E20" s="55" t="b">
        <f t="shared" si="2"/>
        <v>0</v>
      </c>
      <c r="F20" s="11">
        <f>VLOOKUP( $A20, Aop!$A$2:$P$453, 4, 0)</f>
        <v>0</v>
      </c>
      <c r="G20" s="55">
        <f t="shared" si="3"/>
        <v>2024</v>
      </c>
      <c r="H20" s="139">
        <f t="shared" si="4"/>
        <v>45565</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0</v>
      </c>
      <c r="F21" s="11">
        <f>VLOOKUP( $A21, Aop!$A$2:$P$453, 4, 0)</f>
        <v>914</v>
      </c>
      <c r="G21" s="52">
        <f t="shared" ref="G21:G35" si="9">Godina</f>
        <v>2024</v>
      </c>
      <c r="H21" s="223">
        <f t="shared" ref="H21:H35" si="10">Datum_Broj</f>
        <v>45565</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0</v>
      </c>
      <c r="F22" s="11">
        <f>VLOOKUP( $A22, Aop!$A$2:$P$453, 4, 0)</f>
        <v>915</v>
      </c>
      <c r="G22" s="52">
        <f t="shared" si="9"/>
        <v>2024</v>
      </c>
      <c r="H22" s="223">
        <f t="shared" si="10"/>
        <v>45565</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0</v>
      </c>
      <c r="F23" s="11">
        <f>VLOOKUP( $A23, Aop!$A$2:$P$453, 4, 0)</f>
        <v>916</v>
      </c>
      <c r="G23" s="52">
        <f t="shared" si="9"/>
        <v>2024</v>
      </c>
      <c r="H23" s="223">
        <f t="shared" si="10"/>
        <v>45565</v>
      </c>
      <c r="I23" s="55">
        <v>30</v>
      </c>
      <c r="J23" s="52">
        <f t="shared" ca="1" si="11"/>
        <v>15795899</v>
      </c>
      <c r="K23" s="52">
        <f t="shared" ca="1" si="11"/>
        <v>0</v>
      </c>
      <c r="L23" s="52">
        <f t="shared" ca="1" si="11"/>
        <v>13419506</v>
      </c>
      <c r="M23" s="52">
        <f t="shared" ca="1" si="11"/>
        <v>27527089</v>
      </c>
      <c r="N23" s="52">
        <f t="shared" ca="1" si="11"/>
        <v>0</v>
      </c>
      <c r="O23" s="52">
        <f t="shared" ca="1" si="11"/>
        <v>0</v>
      </c>
      <c r="P23" s="52">
        <f t="shared" ca="1" si="11"/>
        <v>39291931</v>
      </c>
      <c r="Q23" s="52">
        <f t="shared" ca="1" si="11"/>
        <v>96034425</v>
      </c>
      <c r="R23" s="52">
        <f t="shared" ca="1" si="11"/>
        <v>0</v>
      </c>
      <c r="S23" s="52">
        <f t="shared" ca="1" si="11"/>
        <v>96034425</v>
      </c>
    </row>
    <row r="24" spans="1:19" x14ac:dyDescent="0.2">
      <c r="A24" s="106">
        <v>441</v>
      </c>
      <c r="B24" s="224" t="str">
        <f>VLOOKUP( $A24, Aop!$A$2:$P$453, 2, 0)</f>
        <v>BPK</v>
      </c>
      <c r="C24" s="52" t="str">
        <f t="shared" si="6"/>
        <v>01814788</v>
      </c>
      <c r="D24" s="52" t="str">
        <f t="shared" si="7"/>
        <v>4400570050004</v>
      </c>
      <c r="E24" s="52" t="b">
        <f t="shared" si="8"/>
        <v>0</v>
      </c>
      <c r="F24" s="11">
        <f>VLOOKUP( $A24, Aop!$A$2:$P$453, 4, 0)</f>
        <v>0</v>
      </c>
      <c r="G24" s="52">
        <f t="shared" si="9"/>
        <v>2024</v>
      </c>
      <c r="H24" s="223">
        <f t="shared" si="10"/>
        <v>45565</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0</v>
      </c>
      <c r="F25" s="11">
        <f>VLOOKUP( $A25, Aop!$A$2:$P$453, 4, 0)</f>
        <v>917</v>
      </c>
      <c r="G25" s="52">
        <f t="shared" ref="G25:G34" si="15">Godina</f>
        <v>2024</v>
      </c>
      <c r="H25" s="223">
        <f t="shared" ref="H25:H34" si="16">Datum_Broj</f>
        <v>45565</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0</v>
      </c>
      <c r="F26" s="11">
        <f>VLOOKUP( $A26, Aop!$A$2:$P$453, 4, 0)</f>
        <v>918</v>
      </c>
      <c r="G26" s="52">
        <f t="shared" si="15"/>
        <v>2024</v>
      </c>
      <c r="H26" s="223">
        <f t="shared" si="16"/>
        <v>45565</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0</v>
      </c>
      <c r="F27" s="11">
        <f>VLOOKUP( $A27, Aop!$A$2:$P$453, 4, 0)</f>
        <v>919</v>
      </c>
      <c r="G27" s="52">
        <f t="shared" si="15"/>
        <v>2024</v>
      </c>
      <c r="H27" s="223">
        <f t="shared" si="16"/>
        <v>45565</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0</v>
      </c>
      <c r="F28" s="11">
        <f>VLOOKUP( $A28, Aop!$A$2:$P$453, 4, 0)</f>
        <v>0</v>
      </c>
      <c r="G28" s="52">
        <f t="shared" si="15"/>
        <v>2024</v>
      </c>
      <c r="H28" s="223">
        <f t="shared" si="16"/>
        <v>45565</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0</v>
      </c>
      <c r="F29" s="11">
        <f>VLOOKUP( $A29, Aop!$A$2:$P$453, 4, 0)</f>
        <v>920</v>
      </c>
      <c r="G29" s="52">
        <f t="shared" si="15"/>
        <v>2024</v>
      </c>
      <c r="H29" s="223">
        <f t="shared" si="16"/>
        <v>45565</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0</v>
      </c>
      <c r="F30" s="11">
        <f>VLOOKUP( $A30, Aop!$A$2:$P$453, 4, 0)</f>
        <v>921</v>
      </c>
      <c r="G30" s="52">
        <f t="shared" si="15"/>
        <v>2024</v>
      </c>
      <c r="H30" s="223">
        <f t="shared" si="16"/>
        <v>45565</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0</v>
      </c>
      <c r="F31" s="11">
        <f>VLOOKUP( $A31, Aop!$A$2:$P$453, 4, 0)</f>
        <v>922</v>
      </c>
      <c r="G31" s="52">
        <f t="shared" si="15"/>
        <v>2024</v>
      </c>
      <c r="H31" s="223">
        <f t="shared" si="16"/>
        <v>45565</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0</v>
      </c>
      <c r="F32" s="11">
        <f>VLOOKUP( $A32, Aop!$A$2:$P$453, 4, 0)</f>
        <v>923</v>
      </c>
      <c r="G32" s="52">
        <f t="shared" si="15"/>
        <v>2024</v>
      </c>
      <c r="H32" s="223">
        <f t="shared" si="16"/>
        <v>45565</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0</v>
      </c>
      <c r="F33" s="11">
        <f>VLOOKUP( $A33, Aop!$A$2:$P$453, 4, 0)</f>
        <v>924</v>
      </c>
      <c r="G33" s="52">
        <f t="shared" si="15"/>
        <v>2024</v>
      </c>
      <c r="H33" s="223">
        <f t="shared" si="16"/>
        <v>45565</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0</v>
      </c>
      <c r="F34" s="11">
        <f>VLOOKUP( $A34, Aop!$A$2:$P$453, 4, 0)</f>
        <v>0</v>
      </c>
      <c r="G34" s="52">
        <f t="shared" si="15"/>
        <v>2024</v>
      </c>
      <c r="H34" s="223">
        <f t="shared" si="16"/>
        <v>45565</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0</v>
      </c>
      <c r="F35" s="11">
        <f>VLOOKUP( $A35, Aop!$A$2:$P$453, 4, 0)</f>
        <v>925</v>
      </c>
      <c r="G35" s="52">
        <f t="shared" si="9"/>
        <v>2024</v>
      </c>
      <c r="H35" s="223">
        <f t="shared" si="10"/>
        <v>45565</v>
      </c>
      <c r="I35" s="55">
        <v>30</v>
      </c>
      <c r="J35" s="52">
        <f t="shared" ref="J35:S35" ca="1" si="18">IF(VLOOKUP($F35,INDIRECT("Lookup_"&amp;$B35),J$1-1,0)="","",VLOOKUP($F35,INDIRECT("Lookup_"&amp;$B35),J$1-1,0))</f>
        <v>15795899</v>
      </c>
      <c r="K35" s="52">
        <f t="shared" ca="1" si="18"/>
        <v>0</v>
      </c>
      <c r="L35" s="52">
        <f t="shared" ca="1" si="18"/>
        <v>14738412</v>
      </c>
      <c r="M35" s="52">
        <f t="shared" ca="1" si="18"/>
        <v>27527089</v>
      </c>
      <c r="N35" s="52">
        <f t="shared" ca="1" si="18"/>
        <v>0</v>
      </c>
      <c r="O35" s="52">
        <f t="shared" ca="1" si="18"/>
        <v>0</v>
      </c>
      <c r="P35" s="52">
        <f t="shared" ca="1" si="18"/>
        <v>41620316</v>
      </c>
      <c r="Q35" s="52">
        <f t="shared" ca="1" si="18"/>
        <v>99681716</v>
      </c>
      <c r="R35" s="52">
        <f t="shared" ca="1" si="18"/>
        <v>0</v>
      </c>
      <c r="S35" s="52">
        <f t="shared" ca="1" si="18"/>
        <v>99681716</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335549568,02</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200579156</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134970412.01999998</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134941065</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7523193</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1490234</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6032959</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5966226</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23910</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18889</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7480394</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1466324</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6014070</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5946267</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305985142</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198167066</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107818076</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107741246</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44619863</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18351661</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26268202</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25510716</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251176801</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179815405</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71361396</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71667490</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9846146</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9846146</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10220708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413264</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4424</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408840</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500376</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201025,02</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18427</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182598.02</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21426944</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20527939</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20535542</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47270</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47270</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47270</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47270</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63114464</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49644366</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13470098</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11336884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5143109</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1306088</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3837021</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3398987</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5048467</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1229761</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3818706</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3380672</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57971355</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48338278</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9633077</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7937897</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54617638</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48089298</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6528340</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3868915</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3798512</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35999</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3762513</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3563953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40087729</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39953156</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134573</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10731397</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2631254</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185359</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2700093</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2700093</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2700093</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2700093</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395511</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395511</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436415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398784317,02</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250223522</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148560795.01999998</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146398234</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28922698</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28922698</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29002149</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99681716</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96034425</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14738412</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13419506</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753359</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605138</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41620316</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39291931</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39143710</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36327510</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2476606</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2964421</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35023893</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32095569</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734779</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852214</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678939</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796374</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21181040</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17968325</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13648497</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3603784</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147721</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13108074</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5142892</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5142892</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8712294</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13125348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1370274</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2842952</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352934</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1008265</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1824351</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9075</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4770960</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7441866</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423060</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2673844</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5707670</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1651233</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1254957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22823</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425605</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420319</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1064692</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993516</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19525</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21085</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88204</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204805</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14792</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49966</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151948</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958242</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998891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148560795</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146398234</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28922698</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29002149</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28977612</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26196956</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12233</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32073</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12233</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32073</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24978663</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24218843</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23844357</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23333547</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1134306</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885296</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3986716</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1946040</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26603146</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25386127</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6359394</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6699156</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422234</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482339</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447922</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464661</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10632922</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9840007</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8430567</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7773867</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2202355</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2066140</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1091174</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458557</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4632604</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4413417</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4632604</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4413417</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4614872</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4412531</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2655</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886</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15077</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2803445</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2806292</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83929</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67773</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129522</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153925</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2374466</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810829</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18658</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23685</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18655</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23679</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209942</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190990</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209939</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190986</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2183182</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643524</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445169</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142616</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445064</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137241</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146807</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36620</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89126</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57681</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36620</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298362</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105996</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6171</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5093</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1222</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29441594</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26369446</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26964988</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25614965</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2476606</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754481</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2476606</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754481</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414</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416</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410</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2476606</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754481</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2476606</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754481</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29732519</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30547489</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29506182</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30388097</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226337</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159392</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25477182</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28387469</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11888293</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15842952</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94700</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128491</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201548</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126949</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10849926</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10040133</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169948</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346311</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2272767</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1902633</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4255337</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2160020</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18655</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24239</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9091</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18655</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3594024</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1657707</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3594024</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1477551</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180156</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3575369</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1633468</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47466</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1308621</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47466</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1308621</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1650775</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1539867</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956742</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1531591</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23501</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8276</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670532</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1603309</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231246</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29798640</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31880349</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30721981</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31585043</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295306</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923341</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3623434</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4272569</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2700093</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4567875</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9006386</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36690262</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9162833</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36533815</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644331</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2964421</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307443</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-307443</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3949230</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101138</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2476606</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2476606</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2476606</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2476606</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2476606</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2476606</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148221</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-148221</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1170685</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14738412</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41620316</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99681716</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99681716</v>
      </c>
      <c r="O441" s="8">
        <v>452</v>
      </c>
      <c r="P441" s="564" t="s">
        <v>135</v>
      </c>
    </row>
  </sheetData>
  <sheetProtection algorithmName="SHA-512" hashValue="1jpd7k31TxhqJy6/hUT8z1fLnsTrt8oi6K2N2hd2yc/4u5ke0yY1VmJC3yYj6ZpBrsyFzfv/QsLjNF+IM5iCBQ==" saltValue="XZwQJQVKminsaol2smryEQ=="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034FA-0054-4D2E-9E6B-859936FD3D24}">
  <ds:schemaRefs>
    <ds:schemaRef ds:uri="http://www.w3.org/XML/1998/namespace"/>
    <ds:schemaRef ds:uri="http://purl.org/dc/elements/1.1/"/>
    <ds:schemaRef ds:uri="http://purl.org/dc/terms/"/>
    <ds:schemaRef ds:uri="http://purl.org/dc/dcmitype/"/>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2024-10-28T07:42:06Z</cp:lastPrinted>
  <dcterms:created xsi:type="dcterms:W3CDTF">2007-02-19T09:55:19Z</dcterms:created>
  <dcterms:modified xsi:type="dcterms:W3CDTF">2024-10-28T07:48:57Z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